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515" documentId="13_ncr:1_{4404795E-A4FE-45B0-8E81-DA2AB2E0CB77}" xr6:coauthVersionLast="47" xr6:coauthVersionMax="47" xr10:uidLastSave="{9604E573-B0D6-449B-9932-E2D4C2A0C799}"/>
  <bookViews>
    <workbookView xWindow="-110" yWindow="-110" windowWidth="19420" windowHeight="1030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32" i="1" l="1"/>
  <c r="BK133" i="1"/>
  <c r="BK134" i="1"/>
  <c r="BK135" i="1"/>
  <c r="AE202" i="3"/>
  <c r="AC202" i="3"/>
  <c r="C202" i="3"/>
  <c r="D202" i="3"/>
  <c r="BN5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09" i="1"/>
  <c r="AR129" i="1"/>
  <c r="AS129" i="1"/>
  <c r="AT129" i="1"/>
  <c r="AU129" i="1"/>
  <c r="BU129" i="1" s="1"/>
  <c r="BJ129" i="1"/>
  <c r="BK129" i="1"/>
  <c r="BL129" i="1"/>
  <c r="BN129" i="1"/>
  <c r="BO129" i="1"/>
  <c r="BP129" i="1"/>
  <c r="BQ129" i="1"/>
  <c r="BR129" i="1"/>
  <c r="G61" i="16"/>
  <c r="C198" i="3"/>
  <c r="D198" i="3"/>
  <c r="C199" i="3"/>
  <c r="D199" i="3"/>
  <c r="C200" i="3"/>
  <c r="D200" i="3"/>
  <c r="C201" i="3"/>
  <c r="D201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BP126" i="1"/>
  <c r="BQ126" i="1"/>
  <c r="BP127" i="1"/>
  <c r="BQ127" i="1"/>
  <c r="BP128" i="1"/>
  <c r="BQ128" i="1"/>
  <c r="C190" i="3"/>
  <c r="D190" i="3"/>
  <c r="N189" i="3"/>
  <c r="M189" i="3"/>
  <c r="D189" i="3"/>
  <c r="C189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BA129" i="1" l="1"/>
  <c r="BM129" i="1" s="1"/>
  <c r="K243" i="3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G189" i="3"/>
  <c r="AE189" i="3" s="1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2" i="3"/>
  <c r="M193" i="3"/>
  <c r="M194" i="3"/>
  <c r="M195" i="3"/>
  <c r="M196" i="3"/>
  <c r="M197" i="3"/>
  <c r="M198" i="3"/>
  <c r="M199" i="3"/>
  <c r="M200" i="3"/>
  <c r="M201" i="3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2" i="3"/>
  <c r="N193" i="3"/>
  <c r="N194" i="3"/>
  <c r="N195" i="3"/>
  <c r="N196" i="3"/>
  <c r="N197" i="3"/>
  <c r="N198" i="3"/>
  <c r="N199" i="3"/>
  <c r="N200" i="3"/>
  <c r="N201" i="3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AC190" i="3" s="1"/>
  <c r="Z191" i="3"/>
  <c r="AC191" i="3" s="1"/>
  <c r="Z192" i="3"/>
  <c r="Z193" i="3"/>
  <c r="AC193" i="3" s="1"/>
  <c r="Z194" i="3"/>
  <c r="AC194" i="3" s="1"/>
  <c r="Z195" i="3"/>
  <c r="AC195" i="3" s="1"/>
  <c r="Z196" i="3"/>
  <c r="AC196" i="3" s="1"/>
  <c r="Z197" i="3"/>
  <c r="AC197" i="3" s="1"/>
  <c r="Z198" i="3"/>
  <c r="AC198" i="3" s="1"/>
  <c r="Z199" i="3"/>
  <c r="AC199" i="3" s="1"/>
  <c r="Z200" i="3"/>
  <c r="AC200" i="3" s="1"/>
  <c r="Z201" i="3"/>
  <c r="AC201" i="3" s="1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207" i="3"/>
  <c r="AE223" i="3"/>
  <c r="AE239" i="3"/>
  <c r="AE242" i="3"/>
  <c r="H201" i="3" l="1"/>
  <c r="AE201" i="3"/>
  <c r="H200" i="3"/>
  <c r="AE200" i="3"/>
  <c r="H199" i="3"/>
  <c r="AE199" i="3"/>
  <c r="H198" i="3"/>
  <c r="AE198" i="3"/>
  <c r="H197" i="3"/>
  <c r="AE197" i="3"/>
  <c r="H196" i="3"/>
  <c r="AE196" i="3"/>
  <c r="H195" i="3"/>
  <c r="AE195" i="3"/>
  <c r="H194" i="3"/>
  <c r="AE194" i="3"/>
  <c r="H193" i="3"/>
  <c r="AE193" i="3"/>
  <c r="H192" i="3"/>
  <c r="AE192" i="3"/>
  <c r="H190" i="3"/>
  <c r="AE190" i="3"/>
  <c r="H188" i="3"/>
  <c r="AE188" i="3"/>
  <c r="AC192" i="3"/>
  <c r="H191" i="3"/>
  <c r="AE191" i="3"/>
  <c r="H187" i="3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B135" i="1"/>
  <c r="BN135" i="1" s="1"/>
  <c r="BJ135" i="1"/>
  <c r="BL135" i="1" s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A135" i="1" l="1"/>
  <c r="BM135" i="1" s="1"/>
  <c r="BO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AW135" i="1" l="1"/>
  <c r="M4" i="10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30" i="1"/>
  <c r="BK131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30" i="1"/>
  <c r="BJ131" i="1"/>
  <c r="BJ132" i="1"/>
  <c r="BL132" i="1" s="1"/>
  <c r="BJ133" i="1"/>
  <c r="BL133" i="1" s="1"/>
  <c r="BJ134" i="1"/>
  <c r="BL134" i="1" s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30" i="1"/>
  <c r="BQ131" i="1"/>
  <c r="BQ132" i="1"/>
  <c r="BQ133" i="1"/>
  <c r="BQ134" i="1"/>
  <c r="BL4" i="1" l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30" i="1"/>
  <c r="BL131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30" i="1"/>
  <c r="AR131" i="1"/>
  <c r="AR132" i="1"/>
  <c r="AR133" i="1"/>
  <c r="AR134" i="1"/>
  <c r="BN4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BA134" i="1" s="1"/>
  <c r="BM134" i="1" s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33" i="1" l="1"/>
  <c r="BM133" i="1" s="1"/>
  <c r="BA132" i="1"/>
  <c r="BM132" i="1" s="1"/>
  <c r="BA131" i="1"/>
  <c r="BM131" i="1" s="1"/>
  <c r="BA130" i="1"/>
  <c r="BM130" i="1" s="1"/>
  <c r="BU109" i="1"/>
  <c r="BV109" i="1" s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A125" i="1"/>
  <c r="BM125" i="1" s="1"/>
  <c r="BA128" i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K125" i="3" l="1"/>
  <c r="K168" i="3"/>
  <c r="K79" i="3"/>
  <c r="U50" i="21"/>
  <c r="U15" i="21"/>
  <c r="U27" i="21"/>
  <c r="U88" i="21"/>
  <c r="U118" i="21"/>
  <c r="U107" i="21"/>
  <c r="U86" i="21"/>
  <c r="U62" i="21"/>
  <c r="K237" i="3"/>
  <c r="K199" i="3"/>
  <c r="K178" i="3"/>
  <c r="U142" i="21"/>
  <c r="R142" i="21"/>
  <c r="O142" i="21"/>
  <c r="R134" i="21"/>
  <c r="U134" i="21"/>
  <c r="O134" i="21"/>
  <c r="U132" i="21"/>
  <c r="O132" i="21"/>
  <c r="R132" i="21"/>
  <c r="R143" i="21"/>
  <c r="U143" i="21"/>
  <c r="O143" i="21"/>
  <c r="O128" i="21"/>
  <c r="R128" i="21"/>
  <c r="U128" i="21"/>
  <c r="O137" i="21"/>
  <c r="R137" i="21"/>
  <c r="U137" i="21"/>
  <c r="R135" i="21"/>
  <c r="U135" i="21"/>
  <c r="O135" i="21"/>
  <c r="O133" i="21"/>
  <c r="R133" i="21"/>
  <c r="U133" i="21"/>
  <c r="R129" i="21"/>
  <c r="U129" i="21"/>
  <c r="O129" i="21"/>
  <c r="O136" i="21"/>
  <c r="R136" i="21"/>
  <c r="U136" i="21"/>
  <c r="O138" i="21"/>
  <c r="R138" i="21"/>
  <c r="U138" i="21"/>
  <c r="U140" i="21"/>
  <c r="O140" i="21"/>
  <c r="R140" i="21"/>
  <c r="O144" i="21"/>
  <c r="R144" i="21"/>
  <c r="U144" i="21"/>
  <c r="O127" i="21"/>
  <c r="R127" i="21"/>
  <c r="U127" i="21"/>
  <c r="O130" i="21"/>
  <c r="R130" i="21"/>
  <c r="U130" i="21"/>
  <c r="O145" i="21"/>
  <c r="U145" i="21"/>
  <c r="R145" i="21"/>
  <c r="O141" i="21"/>
  <c r="R141" i="21"/>
  <c r="U141" i="21"/>
  <c r="U131" i="21"/>
  <c r="O131" i="21"/>
  <c r="R131" i="21"/>
  <c r="U139" i="21"/>
  <c r="O139" i="21"/>
  <c r="R139" i="21"/>
  <c r="U287" i="21"/>
  <c r="U286" i="21"/>
  <c r="U147" i="21"/>
  <c r="U178" i="21"/>
  <c r="U189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79" i="21"/>
  <c r="U208" i="21"/>
  <c r="U66" i="21"/>
  <c r="U122" i="21"/>
  <c r="U102" i="21"/>
  <c r="U154" i="21"/>
  <c r="U186" i="21"/>
  <c r="U260" i="21"/>
  <c r="U182" i="21"/>
  <c r="U241" i="21"/>
  <c r="U148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97" i="21"/>
  <c r="U121" i="21"/>
  <c r="U217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2" i="21"/>
  <c r="U116" i="21"/>
  <c r="U334" i="21"/>
  <c r="U43" i="21"/>
  <c r="U104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23" i="21"/>
  <c r="U146" i="21"/>
  <c r="U220" i="21"/>
  <c r="U268" i="21"/>
  <c r="U42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W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W290" i="21"/>
  <c r="O290" i="21"/>
  <c r="W110" i="21"/>
  <c r="O110" i="21"/>
  <c r="W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W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22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300" i="21"/>
  <c r="R111" i="21"/>
  <c r="R181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218" i="21"/>
  <c r="R166" i="21"/>
  <c r="R290" i="21"/>
  <c r="R110" i="21"/>
  <c r="R337" i="21"/>
  <c r="R15" i="21"/>
  <c r="R196" i="21"/>
  <c r="R309" i="21"/>
  <c r="R293" i="21"/>
  <c r="R55" i="21"/>
  <c r="R173" i="21"/>
  <c r="R240" i="21"/>
  <c r="R248" i="21"/>
  <c r="R361" i="21"/>
  <c r="R227" i="21"/>
  <c r="R167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49" i="21"/>
  <c r="R160" i="21"/>
  <c r="R225" i="21"/>
  <c r="R94" i="21"/>
  <c r="R19" i="21"/>
  <c r="R119" i="21"/>
  <c r="R121" i="21"/>
  <c r="R193" i="21"/>
  <c r="R48" i="21"/>
  <c r="R297" i="21"/>
  <c r="R304" i="21"/>
  <c r="R357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AB43" i="6" s="1"/>
  <c r="K43" i="6"/>
  <c r="W43" i="6"/>
  <c r="U43" i="6"/>
  <c r="O43" i="6"/>
  <c r="L43" i="6"/>
  <c r="H43" i="6"/>
  <c r="M43" i="6"/>
  <c r="Q43" i="6"/>
  <c r="I44" i="6"/>
  <c r="N44" i="6"/>
  <c r="F44" i="6"/>
  <c r="AB44" i="6" s="1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AB45" i="6" s="1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AB47" i="6" s="1"/>
  <c r="Y46" i="6"/>
  <c r="W46" i="6"/>
  <c r="X46" i="6"/>
  <c r="S47" i="6"/>
  <c r="U46" i="6"/>
  <c r="U47" i="6"/>
  <c r="F46" i="6"/>
  <c r="AB46" i="6" s="1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AB48" i="6" s="1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AB49" i="6" s="1"/>
  <c r="S50" i="6"/>
  <c r="Y52" i="6"/>
  <c r="U51" i="6"/>
  <c r="M49" i="6"/>
  <c r="X50" i="6"/>
  <c r="R50" i="6"/>
  <c r="K51" i="6"/>
  <c r="J51" i="6"/>
  <c r="L50" i="6"/>
  <c r="U50" i="6"/>
  <c r="F50" i="6"/>
  <c r="AB50" i="6" s="1"/>
  <c r="V50" i="6"/>
  <c r="S51" i="6"/>
  <c r="V53" i="6"/>
  <c r="Q50" i="6"/>
  <c r="Z53" i="6"/>
  <c r="Y50" i="6"/>
  <c r="O53" i="6"/>
  <c r="T50" i="6"/>
  <c r="O51" i="6"/>
  <c r="K50" i="6"/>
  <c r="S53" i="6"/>
  <c r="F51" i="6"/>
  <c r="AB51" i="6" s="1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AB53" i="6" s="1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AB52" i="6" s="1"/>
  <c r="K52" i="6"/>
  <c r="R52" i="6"/>
  <c r="L52" i="6"/>
  <c r="H52" i="6"/>
  <c r="I52" i="6"/>
  <c r="T52" i="6"/>
  <c r="L53" i="6"/>
  <c r="J55" i="6"/>
  <c r="I53" i="6"/>
  <c r="F55" i="6"/>
  <c r="AB55" i="6" s="1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AB54" i="6" s="1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AB56" i="6" s="1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AB57" i="6" s="1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AB58" i="6" s="1"/>
  <c r="V58" i="6"/>
  <c r="H58" i="6"/>
  <c r="M59" i="6"/>
  <c r="X59" i="6"/>
  <c r="O59" i="6"/>
  <c r="F59" i="6"/>
  <c r="AB59" i="6" s="1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AB60" i="6" s="1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AB61" i="6" s="1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AA36" i="6" l="1"/>
  <c r="Y34" i="7" s="1"/>
  <c r="AA53" i="6"/>
  <c r="AA55" i="6"/>
  <c r="AA41" i="6"/>
  <c r="Y39" i="7" s="1"/>
  <c r="AA37" i="6"/>
  <c r="R35" i="7" s="1"/>
  <c r="AA50" i="6"/>
  <c r="AA52" i="6"/>
  <c r="AA45" i="6"/>
  <c r="Y43" i="7" s="1"/>
  <c r="AA54" i="6"/>
  <c r="AA48" i="6"/>
  <c r="AA47" i="6"/>
  <c r="AA42" i="6"/>
  <c r="T40" i="7" s="1"/>
  <c r="AA40" i="6"/>
  <c r="S38" i="7" s="1"/>
  <c r="AA39" i="6"/>
  <c r="Q37" i="7" s="1"/>
  <c r="AA51" i="6"/>
  <c r="AA49" i="6"/>
  <c r="AA38" i="6"/>
  <c r="Q36" i="7" s="1"/>
  <c r="AA46" i="6"/>
  <c r="AA44" i="6"/>
  <c r="Q42" i="7" s="1"/>
  <c r="AA43" i="6"/>
  <c r="S41" i="7" s="1"/>
  <c r="J21" i="12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P39" i="6"/>
  <c r="AB39" i="6" s="1"/>
  <c r="P64" i="6"/>
  <c r="AB64" i="6" s="1"/>
  <c r="AA60" i="6"/>
  <c r="P58" i="6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A58" i="6"/>
  <c r="P54" i="6"/>
  <c r="P43" i="6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P49" i="6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A57" i="6"/>
  <c r="P51" i="6"/>
  <c r="P47" i="6"/>
  <c r="P45" i="6"/>
  <c r="P38" i="6"/>
  <c r="AB38" i="6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P46" i="6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P56" i="6"/>
  <c r="P40" i="6"/>
  <c r="AB40" i="6" s="1"/>
  <c r="P36" i="6"/>
  <c r="AB36" i="6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P53" i="6"/>
  <c r="P48" i="6"/>
  <c r="P44" i="6"/>
  <c r="P42" i="6"/>
  <c r="AB42" i="6" s="1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O34" i="7" l="1"/>
  <c r="X36" i="7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<sst xmlns="http://schemas.openxmlformats.org/spreadsheetml/2006/main" count="8549" uniqueCount="968">
  <si>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</si>
  <si>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</si>
  <si>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</si>
  <si>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</si>
  <si>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</si>
  <si>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</si>
  <si>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</si>
  <si>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</si>
  <si>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</si>
  <si>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</si>
  <si>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</si>
  <si>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</si>
  <si>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</si>
  <si>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</si>
  <si>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</si>
  <si>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</si>
  <si>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</si>
  <si>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</si>
  <si>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</si>
  <si>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</si>
  <si>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</si>
  <si>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</si>
  <si>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</si>
  <si>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</si>
  <si>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</si>
  <si>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</si>
  <si>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</si>
  <si>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</si>
  <si>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</si>
  <si>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</si>
  <si>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</si>
  <si>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</si>
  <si>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</si>
  <si>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</si>
  <si>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</si>
  <si>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</si>
  <si>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</si>
  <si>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</si>
  <si>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</si>
  <si>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</si>
  <si>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</si>
  <si>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</si>
  <si>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</si>
  <si>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</si>
  <si>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</si>
  <si>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</si>
  <si>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</si>
  <si>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</si>
  <si>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</si>
  <si>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</si>
  <si>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</si>
  <si>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</si>
  <si>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</si>
  <si>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</si>
  <si>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</si>
  <si>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</si>
  <si>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</si>
  <si>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</si>
  <si>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</si>
  <si>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</si>
  <si>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</si>
  <si>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</si>
  <si>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</si>
  <si>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</si>
  <si>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</si>
  <si>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</si>
  <si>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</si>
  <si>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</si>
  <si>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</si>
  <si>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</si>
  <si>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</si>
  <si>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</si>
  <si>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</si>
  <si>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</si>
  <si>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</si>
  <si>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</si>
  <si>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</si>
  <si>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</si>
  <si>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</si>
  <si>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</si>
  <si>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</si>
  <si>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</si>
  <si>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</si>
  <si>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</si>
  <si>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</si>
  <si>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</si>
  <si>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</si>
  <si>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</si>
  <si>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</si>
  <si>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</si>
  <si>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</si>
  <si>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</si>
  <si>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</si>
  <si>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</si>
  <si>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</si>
  <si>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</si>
  <si>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</si>
  <si>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</si>
  <si>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</si>
  <si>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</si>
  <si>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</si>
  <si>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</si>
  <si>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</si>
  <si>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</si>
  <si>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</si>
  <si>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</si>
  <si>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</si>
  <si>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</si>
  <si>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</si>
  <si>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</si>
  <si>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</si>
  <si>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</si>
  <si>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</si>
  <si>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</si>
  <si>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</si>
  <si>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</si>
  <si>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</si>
  <si>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Start Month</t>
  </si>
  <si>
    <t>Calendor Year</t>
  </si>
  <si>
    <t>Contrcatual Year</t>
  </si>
  <si>
    <t>Operating Year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</si>
  <si>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</si>
  <si>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</si>
  <si>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</si>
  <si>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</si>
  <si>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</si>
  <si>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</si>
  <si>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</si>
  <si>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</si>
  <si>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</si>
  <si>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</si>
  <si>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</si>
  <si>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</si>
  <si>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</si>
  <si>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</si>
  <si>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</si>
  <si>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</si>
  <si>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</si>
  <si>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</si>
  <si>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</si>
  <si>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IS1_Inv2</t>
  </si>
  <si>
    <t>FY2022-23</t>
  </si>
  <si>
    <t>Year_1</t>
  </si>
  <si>
    <t>Avg. SY New</t>
  </si>
  <si>
    <t>Max. SY</t>
  </si>
  <si>
    <t>Sunrise Time (POA&gt;20 W/m2)</t>
  </si>
  <si>
    <t>Sunset Time (POA&lt;20 W/m2)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</si>
  <si>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</si>
  <si>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</si>
  <si>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</si>
  <si>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</si>
  <si>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</si>
  <si>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</si>
  <si>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</si>
  <si>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</si>
  <si>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</si>
  <si>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</si>
  <si>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</si>
  <si>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</si>
  <si>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</si>
  <si>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</si>
  <si>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</si>
  <si>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</si>
  <si>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</si>
  <si>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</si>
  <si>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</si>
  <si>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</si>
  <si>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Year_4</t>
  </si>
  <si>
    <t>Outgoing_F5</t>
  </si>
  <si>
    <t>PLANT</t>
  </si>
  <si>
    <t>Grid System</t>
  </si>
  <si>
    <t>F-5  tripped due to earth fault .&amp; 20 MW SS Pole o.01B-Phase Jumper melt/Cut</t>
  </si>
  <si>
    <t>&amp; 20 MW SS Pole o.01B-Phase Jumper Binded with new conductior &amp; restarted VCB at substation and restored</t>
  </si>
  <si>
    <t>Close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</si>
  <si>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</si>
  <si>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</si>
  <si>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</si>
  <si>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</si>
  <si>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</si>
  <si>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</si>
  <si>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</si>
  <si>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</si>
  <si>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</si>
  <si>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</si>
  <si>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</si>
  <si>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</si>
  <si>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</si>
  <si>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</si>
  <si>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</si>
  <si>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</si>
  <si>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</si>
  <si>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</si>
  <si>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</si>
  <si>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</si>
  <si>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</si>
  <si>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</si>
  <si>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</si>
  <si>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</si>
  <si>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</si>
  <si>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</si>
  <si>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</si>
  <si>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</si>
  <si>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</si>
  <si>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</si>
  <si>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</si>
  <si>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</si>
  <si>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</si>
  <si>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</si>
  <si>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</si>
  <si>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</si>
  <si>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</si>
  <si>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</si>
  <si>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</si>
  <si>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</si>
  <si>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</si>
  <si>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</si>
  <si>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</si>
  <si>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</si>
  <si>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</si>
  <si>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</si>
  <si>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</si>
  <si>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</si>
  <si>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</si>
  <si>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</si>
  <si>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</si>
  <si>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</si>
  <si>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</si>
  <si>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</si>
  <si>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</si>
  <si>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</si>
  <si>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</si>
  <si>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</si>
  <si>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</si>
  <si>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</si>
  <si>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</si>
  <si>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</si>
  <si>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</si>
  <si>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</si>
  <si>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</si>
  <si>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</si>
  <si>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</si>
  <si>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</si>
  <si>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</si>
  <si>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</si>
  <si>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</si>
  <si>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</si>
  <si>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</si>
  <si>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</si>
  <si>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</si>
  <si>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</si>
  <si>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</si>
  <si>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</si>
  <si>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</si>
  <si>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</si>
  <si>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</si>
  <si>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</si>
  <si>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</si>
  <si>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</si>
  <si>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</si>
  <si>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</si>
  <si>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</si>
  <si>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</si>
  <si>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</si>
  <si>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</si>
  <si>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</si>
  <si>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</si>
  <si>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</si>
  <si>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</si>
  <si>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</si>
  <si>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</si>
  <si>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</si>
  <si>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</si>
  <si>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</si>
  <si>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</si>
  <si>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</si>
  <si>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</si>
  <si>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</si>
  <si>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</si>
  <si>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</si>
  <si>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</si>
  <si>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</si>
  <si>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</si>
  <si>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</si>
  <si>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</si>
  <si>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</si>
  <si>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</si>
  <si>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</si>
  <si>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</si>
  <si>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</si>
  <si>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</si>
  <si>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</si>
  <si>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</si>
  <si>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</si>
  <si>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</si>
  <si>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</si>
  <si>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</si>
  <si>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</si>
  <si>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</si>
  <si>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</si>
  <si>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</si>
  <si>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</si>
  <si>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</si>
  <si>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</si>
  <si>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</si>
  <si>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</si>
  <si>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</si>
  <si>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</si>
  <si>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</si>
  <si>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</si>
  <si>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</si>
  <si>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</si>
  <si>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</si>
  <si>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</si>
  <si>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</si>
  <si>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</si>
  <si>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</si>
  <si>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</si>
  <si>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</si>
  <si>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</si>
  <si>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</si>
  <si>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</si>
  <si>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</si>
  <si>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</si>
  <si>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</si>
  <si>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</si>
  <si>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</si>
  <si>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</si>
  <si>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</si>
  <si>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</si>
  <si>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</si>
  <si>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</si>
  <si>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</si>
  <si>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</si>
  <si>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</si>
  <si>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</si>
  <si>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</si>
  <si>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</si>
  <si>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</si>
  <si>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</si>
  <si>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</si>
  <si>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</si>
  <si>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</si>
  <si>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</si>
  <si>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</si>
  <si>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</si>
  <si>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</si>
  <si>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</si>
  <si>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</si>
  <si>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</si>
  <si>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</si>
  <si>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</si>
  <si>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</si>
  <si>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</si>
  <si>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</si>
  <si>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</si>
  <si>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</si>
  <si>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</si>
  <si>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</si>
  <si>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</si>
  <si>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</si>
  <si>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</si>
  <si>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</si>
  <si>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</si>
  <si>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</si>
  <si>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</si>
  <si>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</si>
  <si>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</si>
  <si>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</si>
  <si>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</si>
  <si>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</si>
  <si>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</si>
  <si>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</si>
  <si>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</si>
  <si>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</si>
  <si>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</si>
  <si>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</si>
  <si>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</si>
  <si>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</si>
  <si>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</si>
  <si>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</si>
  <si>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</si>
  <si>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</si>
  <si>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</si>
  <si>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</si>
  <si>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</si>
  <si>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</si>
  <si>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</si>
  <si>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</si>
  <si>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</si>
  <si>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</si>
  <si>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</si>
  <si>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</si>
  <si>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</si>
  <si>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</si>
  <si>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</si>
  <si>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</si>
  <si>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</si>
  <si>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</si>
  <si>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</si>
  <si>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</si>
  <si>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</si>
  <si>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</si>
  <si>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</si>
  <si>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</si>
  <si>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</si>
  <si>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</si>
  <si>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</si>
  <si>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</si>
  <si>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</si>
  <si>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</si>
  <si>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</si>
  <si>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</si>
  <si>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</si>
  <si>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</si>
  <si>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</si>
  <si>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</si>
  <si>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</si>
  <si>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</si>
  <si>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</si>
  <si>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</si>
  <si>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</si>
  <si>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</si>
  <si>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</si>
  <si>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</si>
  <si>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</si>
  <si>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</si>
  <si>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</si>
  <si>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</si>
  <si>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</si>
  <si>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</si>
  <si>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</si>
  <si>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</si>
  <si>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</si>
  <si>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</si>
  <si>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</si>
  <si>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</si>
  <si>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</si>
  <si>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</si>
  <si>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</si>
  <si>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</si>
  <si>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</si>
  <si>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</si>
  <si>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</si>
  <si>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</si>
  <si>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</si>
  <si>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</si>
  <si>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</si>
  <si>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</si>
  <si>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</si>
  <si>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</si>
  <si>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</si>
  <si>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</si>
  <si>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</si>
  <si>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</si>
  <si>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</si>
  <si>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</si>
  <si>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</si>
  <si>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</si>
  <si>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</si>
  <si>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</si>
  <si>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</si>
  <si>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</si>
  <si>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</si>
  <si>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ICOG2_IC2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</si>
  <si>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</si>
  <si>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</si>
  <si>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</si>
  <si>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</si>
  <si>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</si>
  <si>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</si>
  <si>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</si>
  <si>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</si>
  <si>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</si>
  <si>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</si>
  <si>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</si>
  <si>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</si>
  <si>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</si>
  <si>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</si>
  <si>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</si>
  <si>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IS2_Inv2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</si>
  <si>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</si>
  <si>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</si>
  <si>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</si>
  <si>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</si>
  <si>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</si>
  <si>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</si>
  <si>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</si>
  <si>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</si>
  <si>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</si>
  <si>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</si>
  <si>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</si>
  <si>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</si>
  <si>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</si>
  <si>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</si>
  <si>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</si>
  <si>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</si>
  <si>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</si>
  <si>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</si>
  <si>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</si>
  <si>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</si>
  <si>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</si>
  <si>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</si>
  <si>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</si>
  <si>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</si>
  <si>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</si>
  <si>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</si>
  <si>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</si>
  <si>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</si>
  <si>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</si>
  <si>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</si>
  <si>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</si>
  <si>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</si>
  <si>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</si>
  <si>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</si>
  <si>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</si>
  <si>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</si>
  <si>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</si>
  <si>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</si>
  <si>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</si>
  <si>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</si>
  <si>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</si>
  <si>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</si>
  <si>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</si>
  <si>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</si>
  <si>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</si>
  <si>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</si>
  <si>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</si>
  <si>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</si>
  <si>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</si>
  <si>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</si>
  <si>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</si>
  <si>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</si>
  <si>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IS1_IDT</t>
  </si>
  <si>
    <t>IS2_IDT</t>
  </si>
  <si>
    <t>ICOG1_IS1</t>
  </si>
  <si>
    <t>ICOG2_IS2</t>
  </si>
  <si>
    <t>Outgoing_PSEGPL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</si>
  <si>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</si>
  <si>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</si>
  <si>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</si>
  <si>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</si>
  <si>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</si>
  <si>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</si>
  <si>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</si>
  <si>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</si>
  <si>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</si>
  <si>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</si>
  <si>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</si>
  <si>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</si>
  <si>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</si>
  <si>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</si>
  <si>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</si>
  <si>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</si>
  <si>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</si>
  <si>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</si>
  <si>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</si>
  <si>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</si>
  <si>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</si>
  <si>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</si>
  <si>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</si>
  <si>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</si>
  <si>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</si>
  <si>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</si>
  <si>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</si>
  <si>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</si>
  <si>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</si>
  <si>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</si>
  <si>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</si>
  <si>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</si>
  <si>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</si>
  <si>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</si>
  <si>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</si>
  <si>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</si>
  <si>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</si>
  <si>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</si>
  <si>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</si>
  <si>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</si>
  <si>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</si>
  <si>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</si>
  <si>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</si>
  <si>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</si>
  <si>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</si>
  <si>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</si>
  <si>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</si>
  <si>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</si>
  <si>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</si>
  <si>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</si>
  <si>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</si>
  <si>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</si>
  <si>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</si>
  <si>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</si>
  <si>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</si>
  <si>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</si>
  <si>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</si>
  <si>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</si>
  <si>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</si>
  <si>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</si>
  <si>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</si>
  <si>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</si>
  <si>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</si>
  <si>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</si>
  <si>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</si>
  <si>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</si>
  <si>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</si>
  <si>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</si>
  <si>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</si>
  <si>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</si>
  <si>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</si>
  <si>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</si>
  <si>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</si>
  <si>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</si>
  <si>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</si>
  <si>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</si>
  <si>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</si>
  <si>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</si>
  <si>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</si>
  <si>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</si>
  <si>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</si>
  <si>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</si>
  <si>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</si>
  <si>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</si>
  <si>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</si>
  <si>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</si>
  <si>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</si>
  <si>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</si>
  <si>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</si>
  <si>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</si>
  <si>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</si>
  <si>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Plant DC Capcity (MW)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</si>
  <si>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</si>
  <si>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</si>
  <si>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</si>
  <si>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</si>
  <si>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</si>
  <si>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</si>
  <si>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</si>
  <si>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</si>
  <si>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</si>
  <si>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</si>
  <si>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</si>
  <si>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</si>
  <si>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</si>
  <si>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</si>
  <si>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</si>
  <si>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</si>
  <si>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</si>
  <si>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</si>
  <si>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</si>
  <si>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</si>
  <si>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</si>
  <si>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</si>
  <si>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</si>
  <si>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</si>
  <si>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</si>
  <si>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</si>
  <si>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</si>
  <si>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</si>
  <si>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</si>
  <si>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</si>
  <si>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</si>
  <si>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</si>
  <si>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</si>
  <si>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</si>
  <si>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</si>
  <si>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</si>
  <si>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 </t>
  </si>
  <si>
    <t>ICR 02 Irradiation  zero due to control supply Device breack down</t>
  </si>
  <si>
    <t>Fault Catrgory</t>
  </si>
  <si>
    <t>Breakdown Time</t>
  </si>
  <si>
    <t>Plant Equivalent BD (Hrs)</t>
  </si>
  <si>
    <t>Lost PoA(kWh/m2)</t>
  </si>
  <si>
    <t>PTW No.</t>
  </si>
  <si>
    <t>Job Card No.</t>
  </si>
  <si>
    <t>Column1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</si>
  <si>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</si>
  <si>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</si>
  <si>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</si>
  <si>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String positive cable cut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</si>
  <si>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</si>
  <si>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</si>
  <si>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</si>
  <si>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</si>
  <si>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</si>
  <si>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</si>
  <si>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</si>
  <si>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</si>
  <si>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</si>
  <si>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</si>
  <si>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</si>
  <si>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</si>
  <si>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</si>
  <si>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</si>
  <si>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</si>
  <si>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</si>
  <si>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</si>
  <si>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</si>
  <si>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</si>
  <si>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</si>
  <si>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</si>
  <si>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</si>
  <si>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</si>
  <si>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</si>
  <si>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</si>
  <si>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</si>
  <si>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</si>
  <si>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</si>
  <si>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</si>
  <si>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</si>
  <si>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>AC SPD Fault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</si>
  <si>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</si>
  <si>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</si>
  <si>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</si>
  <si>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</si>
  <si>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</si>
  <si>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</si>
  <si>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</si>
  <si>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Earth fault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</si>
  <si>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</si>
  <si>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</si>
  <si>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</si>
  <si>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</si>
  <si>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</si>
  <si>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</si>
  <si>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</si>
  <si>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</si>
  <si>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</si>
  <si>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</si>
  <si>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</si>
  <si>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</si>
  <si>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</si>
  <si>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</si>
  <si>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>WIP</t>
  </si>
  <si>
    <t xml:space="preserve">G4 -INV 07 tripped on date 20-05-25 due to DC over Current and DC ground short fault </t>
  </si>
  <si>
    <t xml:space="preserve">UA 108 : DC GROUND SHORT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</si>
  <si>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</si>
  <si>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</si>
  <si>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</si>
  <si>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</si>
  <si>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</si>
  <si>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</si>
  <si>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</si>
  <si>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</si>
  <si>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</si>
  <si>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</si>
  <si>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</si>
  <si>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</si>
  <si>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</si>
  <si>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</si>
  <si>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</si>
  <si>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</si>
  <si>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</si>
  <si>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</si>
  <si>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</si>
  <si>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</si>
  <si>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</si>
  <si>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DC ground  fault</t>
  </si>
  <si>
    <t>Inv 01 tripped due to  DC ground  short fault  .</t>
  </si>
  <si>
    <t>Fault rectified &amp; 5 AMP fuse replaced, reset &amp; started inverter</t>
  </si>
  <si>
    <t>Inv 06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</si>
  <si>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</si>
  <si>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</si>
  <si>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</si>
  <si>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</si>
  <si>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</si>
  <si>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</si>
  <si>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</si>
  <si>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</si>
  <si>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</si>
  <si>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</si>
  <si>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</si>
  <si>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</si>
  <si>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</si>
  <si>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</si>
  <si>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</si>
  <si>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>Ground fault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</si>
  <si>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</si>
  <si>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</si>
  <si>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</si>
  <si>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</si>
  <si>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</si>
  <si>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</si>
  <si>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</si>
  <si>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</si>
  <si>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</si>
  <si>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</si>
  <si>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</si>
  <si>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</si>
  <si>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</si>
  <si>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</si>
  <si>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</si>
  <si>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</si>
  <si>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</si>
  <si>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</si>
  <si>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</si>
  <si>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</si>
  <si>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</si>
  <si>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</si>
  <si>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</si>
  <si>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</si>
  <si>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</si>
  <si>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F-5  tripped due to earth fault and over current.</t>
  </si>
  <si>
    <t>CTRL,POW AC UV.</t>
  </si>
  <si>
    <t>UF308: CTRL,POW AC UV.</t>
  </si>
  <si>
    <t>Inv 05 tripped due to Control supply tripped</t>
  </si>
  <si>
    <t>Inv 05 tripped due to Control supply tripped So Fault rectified reset and started inverter normally.</t>
  </si>
  <si>
    <t>Inv 06 tripped due to Control supply tripped</t>
  </si>
  <si>
    <t>Inv 06 tripped due to Control supply tripped So Fault rectified reset and started inverter normally.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</si>
  <si>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</si>
  <si>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</si>
  <si>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</si>
  <si>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</si>
  <si>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</si>
  <si>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</si>
  <si>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</si>
  <si>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</si>
  <si>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</si>
  <si>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</si>
  <si>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</si>
  <si>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</si>
  <si>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</si>
  <si>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</si>
  <si>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</si>
  <si>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</si>
  <si>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</si>
  <si>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 xml:space="preserve"> Inv 04 - SCB 02 R38S07 -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</si>
  <si>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</si>
  <si>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</si>
  <si>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</si>
  <si>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</si>
  <si>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</si>
  <si>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</si>
  <si>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</si>
  <si>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</si>
  <si>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R65S04 - string Positive cable cut observed.</t>
  </si>
  <si>
    <t xml:space="preserve"> Inv 05 - SCB 07 R65S07 - string Positive cable cut observed.</t>
  </si>
  <si>
    <t>INV 05 SCB 06</t>
  </si>
  <si>
    <t xml:space="preserve"> Inv 05 - SCB 06 R62S12 - string Positive cable cut observed.</t>
  </si>
  <si>
    <t>INV 05 SCB 08</t>
  </si>
  <si>
    <t xml:space="preserve"> Inv 05 - SCB 08 R66S11 - string Positive cable cut observed.</t>
  </si>
  <si>
    <t xml:space="preserve"> Inv 05 - SCB 08 R66S13 - string Positive cable cut observed.</t>
  </si>
  <si>
    <t>INV 01 SCB 01</t>
  </si>
  <si>
    <t xml:space="preserve"> Inv 01 - SCB 01 R02S03 - string Positive cable cut observed.</t>
  </si>
  <si>
    <t xml:space="preserve"> Inv 01 - SCB 01 R03S02 - string Positive cable cut observed.</t>
  </si>
  <si>
    <t>INV 03 SCB 03</t>
  </si>
  <si>
    <t xml:space="preserve"> Inv 03 - SCB 03 R35S06 - string Positive cable cut observed.</t>
  </si>
  <si>
    <t xml:space="preserve"> Inv 03 - SCB 04 R34S13 - string Positive cable cut observed.</t>
  </si>
  <si>
    <t>INV 03 SCB 06</t>
  </si>
  <si>
    <t xml:space="preserve"> Inv 03 - SCB 06 R03612 - string Positive cable cut observed.</t>
  </si>
  <si>
    <t>INV 03 SCB 01</t>
  </si>
  <si>
    <t xml:space="preserve"> Inv 03 - SCB 01 R31S04 - string Positive cable cut observed.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</si>
  <si>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</si>
  <si>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</si>
  <si>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</si>
  <si>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</si>
  <si>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</si>
  <si>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</si>
  <si>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</si>
  <si>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</si>
  <si>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</si>
  <si>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</si>
  <si>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</si>
  <si>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</si>
  <si>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</si>
  <si>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</si>
  <si>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</si>
  <si>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</si>
  <si>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</si>
  <si>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</si>
  <si>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</si>
  <si>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</si>
  <si>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G3 block kept under breackdown and 18 mw charged.</t>
  </si>
  <si>
    <t>G3-ICOG shut down for fault rectification</t>
  </si>
  <si>
    <t>06 MW SS B-Phase Jumper and connector replaced with new connector &amp; restarted VCB at substation and plant restored</t>
  </si>
  <si>
    <t>inv 07 scb 06</t>
  </si>
  <si>
    <t xml:space="preserve"> Inv 07 - SCB 06 R48S11 - string both cable cut observed.</t>
  </si>
  <si>
    <t>so both cable replaced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</si>
  <si>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</si>
  <si>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</si>
  <si>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</si>
  <si>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</si>
  <si>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</si>
  <si>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</si>
  <si>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Inv 02 tripped due to  DC ground  short fault  .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</si>
  <si>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</si>
  <si>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</si>
  <si>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</si>
  <si>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</si>
  <si>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</si>
  <si>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</si>
  <si>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</si>
  <si>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</si>
  <si>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</si>
  <si>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</si>
  <si>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</si>
  <si>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</si>
  <si>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</si>
  <si>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</si>
  <si>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ICR 02 U1 SCb 06</t>
  </si>
  <si>
    <t>ICR 02 INV 01 U1 SCB 06 Table No T84 MC4 connector Melt Observed</t>
  </si>
  <si>
    <t>replaced new one</t>
  </si>
  <si>
    <t>inv 01 u2 scb5</t>
  </si>
  <si>
    <t>ICR 01 INV 01 U2 SCB 03 Table No T144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</si>
  <si>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</si>
  <si>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</si>
  <si>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</si>
  <si>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</si>
  <si>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 xml:space="preserve"> Inv 09 - SCB 05 R28S13- string both cable cut observed.</t>
  </si>
  <si>
    <t xml:space="preserve"> Inv 09 - SCB 05 R28S12- string both cable cut observed.</t>
  </si>
  <si>
    <t>INV 09 SCB 04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</si>
  <si>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</si>
  <si>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</si>
  <si>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</si>
  <si>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</si>
  <si>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</si>
  <si>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</si>
  <si>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</si>
  <si>
    <t xml:space="preserve"> Inv 02 - SCB 02 R16S11- string both cable cut observed.</t>
  </si>
  <si>
    <t xml:space="preserve"> Inv 02 - SCB 02 R16S14- string both cable cut observed.</t>
  </si>
  <si>
    <t>INV 02 SCB 03</t>
  </si>
  <si>
    <t xml:space="preserve"> Inv 02 - SCB 03 R18S02- string both cable cut observed.</t>
  </si>
  <si>
    <t xml:space="preserve"> Inv 02 - SCB 03 R18S03- string both cable cut observed.</t>
  </si>
  <si>
    <t xml:space="preserve"> Inv 02 - SCB 03 R18S08- string both cable cut observed.</t>
  </si>
  <si>
    <t xml:space="preserve"> Inv 02 - SCB 03 R17S02- string both cable cut observed.</t>
  </si>
  <si>
    <t>inv 09  scb 06</t>
  </si>
  <si>
    <t xml:space="preserve"> Inv 09 - SCB 06 R25S10 - string both cable cut observed.</t>
  </si>
  <si>
    <t xml:space="preserve"> Inv 09 - SCB 06 R25S11 - string both cable cut observed.</t>
  </si>
  <si>
    <t xml:space="preserve"> Inv 09 - SCB 06 R25S12 - string both cable cut observed.</t>
  </si>
  <si>
    <t xml:space="preserve"> Inv 09 - SCB 06 R24S09 - string positive cable cut observed.</t>
  </si>
  <si>
    <t>so positive cable replaced</t>
  </si>
  <si>
    <t>Item Consumed</t>
  </si>
  <si>
    <t>Qty Consumed</t>
  </si>
  <si>
    <t>Place of Consumption</t>
  </si>
  <si>
    <t>Ownership of Spare/Consumable</t>
  </si>
  <si>
    <t>Remarks for the day</t>
  </si>
  <si>
    <t>2024-2025</t>
  </si>
  <si>
    <t>Apr</t>
  </si>
  <si>
    <t>6sqmm string cable</t>
  </si>
  <si>
    <t>O2 Power</t>
  </si>
  <si>
    <t>PG connector</t>
  </si>
  <si>
    <t>O2RE VI</t>
  </si>
  <si>
    <t>2024-2026</t>
  </si>
  <si>
    <t>MC4 CONNECTOR</t>
  </si>
  <si>
    <t>15 AMPs \1000 v DC Fuses</t>
  </si>
  <si>
    <t>05 AMPs \1000 v DC Fuses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</si>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</sst>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3" fillId="0" borderId="0" applyFont="0" applyFill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17" fillId="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17" fillId="2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26" fillId="0" borderId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6" fillId="0" borderId="0" applyNumberFormat="0" applyFill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12" fillId="0" borderId="5" applyNumberFormat="0" applyFill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7" fillId="2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17" fillId="2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17" fillId="31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11" fillId="19" borderId="3" applyNumberForma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2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17" fillId="3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17" fillId="20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2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15" fillId="0" borderId="0" applyNumberFormat="0" applyFill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17" fillId="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26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19" fillId="0" borderId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43" fontId="3" fillId="0" borderId="0" applyFont="0" applyFill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17" fillId="2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7" fillId="31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169" fontId="3" fillId="0" borderId="0"/>
    <xf numFmtId="0" fontId="3" fillId="12" borderId="0" applyNumberFormat="0" applyBorder="0" applyAlignment="0" applyProtection="0"/>
    <xf numFmtId="0" fontId="3" fillId="0" borderId="0"/>
    <xf numFmtId="0" fontId="24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2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26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25" fillId="21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17" fillId="2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9" fontId="27" fillId="33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43" fontId="3" fillId="0" borderId="0" applyFont="0" applyFill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43" fontId="3" fillId="0" borderId="0" applyFont="0" applyFill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43" fontId="3" fillId="0" borderId="0" applyFont="0" applyFill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19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9" fillId="30" borderId="3" applyNumberForma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17" fillId="2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17" fillId="2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26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19" fillId="0" borderId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9" fontId="26" fillId="0" borderId="0" applyFont="0" applyFill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25" fillId="21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17" fillId="2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10" fillId="19" borderId="4" applyNumberForma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26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2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23" fillId="0" borderId="0"/>
    <xf numFmtId="0" fontId="24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16" fillId="0" borderId="8" applyNumberFormat="0" applyFill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8" fillId="2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4" fillId="0" borderId="1" applyNumberFormat="0" applyFill="0" applyAlignment="0" applyProtection="0"/>
    <xf numFmtId="0" fontId="3" fillId="9" borderId="0" applyNumberFormat="0" applyBorder="0" applyAlignment="0" applyProtection="0"/>
    <xf numFmtId="0" fontId="5" fillId="0" borderId="2" applyNumberFormat="0" applyFill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13" fillId="35" borderId="6" applyNumberForma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17" fillId="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7" fillId="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17" fillId="3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17" fillId="3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6" fillId="0" borderId="15" applyNumberFormat="0" applyFill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26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17" fillId="2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26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9" fontId="2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26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14" fillId="0" borderId="0" applyNumberFormat="0" applyFill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26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43" fontId="3" fillId="0" borderId="0" applyFont="0" applyFill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59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0" fillId="0" borderId="9" xfId="0" applyFont="1" applyBorder="1" applyAlignment="1">
      <alignment horizontal="center" vertical="top" wrapText="1"/>
    </xf>
    <xf numFmtId="165" fontId="21" fillId="0" borderId="9" xfId="0" applyNumberFormat="1" applyFont="1" applyBorder="1" applyAlignment="1">
      <alignment horizontal="center" vertical="top" shrinkToFit="1"/>
    </xf>
    <xf numFmtId="2" fontId="21" fillId="0" borderId="9" xfId="0" applyNumberFormat="1" applyFont="1" applyBorder="1" applyAlignment="1">
      <alignment horizontal="center" vertical="top" shrinkToFit="1"/>
    </xf>
    <xf numFmtId="1" fontId="21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1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29" fillId="23" borderId="17" xfId="0" applyFont="1" applyFill="1" applyBorder="1" applyAlignment="1">
      <alignment horizontal="center" vertical="center" wrapText="1"/>
    </xf>
    <xf numFmtId="0" fontId="29" fillId="23" borderId="13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29" fillId="23" borderId="18" xfId="0" applyFont="1" applyFill="1" applyBorder="1" applyAlignment="1">
      <alignment horizontal="center" vertical="center" wrapText="1"/>
    </xf>
    <xf numFmtId="0" fontId="29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24" borderId="9" xfId="0" applyFont="1" applyFill="1" applyBorder="1" applyAlignment="1">
      <alignment vertical="center"/>
    </xf>
    <xf numFmtId="0" fontId="13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7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3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0" fillId="0" borderId="0" xfId="0" applyFont="1" applyAlignment="1">
      <alignment horizontal="center" vertical="top" wrapText="1"/>
    </xf>
    <xf numFmtId="167" fontId="37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9" fillId="23" borderId="9" xfId="0" applyFont="1" applyFill="1" applyBorder="1" applyAlignment="1">
      <alignment horizontal="center" vertical="center" wrapText="1"/>
    </xf>
    <xf numFmtId="167" fontId="29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8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8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39" fillId="23" borderId="12" xfId="0" applyFont="1" applyFill="1" applyBorder="1" applyAlignment="1">
      <alignment horizontal="center" vertical="center" wrapText="1"/>
    </xf>
    <xf numFmtId="0" fontId="39" fillId="23" borderId="20" xfId="0" applyFont="1" applyFill="1" applyBorder="1" applyAlignment="1">
      <alignment horizontal="center" vertical="center" wrapText="1"/>
    </xf>
    <xf numFmtId="167" fontId="39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8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29" fillId="23" borderId="27" xfId="0" applyFont="1" applyFill="1" applyBorder="1" applyAlignment="1">
      <alignment horizontal="center" vertical="center" wrapText="1"/>
    </xf>
    <xf numFmtId="167" fontId="29" fillId="23" borderId="27" xfId="0" applyNumberFormat="1" applyFont="1" applyFill="1" applyBorder="1" applyAlignment="1">
      <alignment horizontal="center" vertical="center" wrapText="1"/>
    </xf>
    <xf numFmtId="0" fontId="29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8" fillId="38" borderId="26" xfId="0" applyNumberFormat="1" applyFont="1" applyFill="1" applyBorder="1" applyAlignment="1">
      <alignment horizontal="center" vertical="center"/>
    </xf>
    <xf numFmtId="165" fontId="41" fillId="0" borderId="30" xfId="0" applyNumberFormat="1" applyFont="1" applyBorder="1" applyAlignment="1">
      <alignment horizontal="center" vertical="top" shrinkToFit="1"/>
    </xf>
    <xf numFmtId="1" fontId="41" fillId="0" borderId="30" xfId="0" applyNumberFormat="1" applyFont="1" applyBorder="1" applyAlignment="1">
      <alignment horizontal="center" vertical="top" shrinkToFit="1"/>
    </xf>
    <xf numFmtId="165" fontId="41" fillId="0" borderId="31" xfId="0" applyNumberFormat="1" applyFont="1" applyBorder="1" applyAlignment="1">
      <alignment horizontal="center" vertical="top" shrinkToFit="1"/>
    </xf>
    <xf numFmtId="1" fontId="41" fillId="0" borderId="31" xfId="0" applyNumberFormat="1" applyFont="1" applyBorder="1" applyAlignment="1">
      <alignment horizontal="center" vertical="top" shrinkToFit="1"/>
    </xf>
    <xf numFmtId="165" fontId="41" fillId="0" borderId="32" xfId="0" applyNumberFormat="1" applyFont="1" applyBorder="1" applyAlignment="1">
      <alignment horizontal="center" vertical="top" shrinkToFit="1"/>
    </xf>
    <xf numFmtId="1" fontId="41" fillId="0" borderId="32" xfId="0" applyNumberFormat="1" applyFont="1" applyBorder="1" applyAlignment="1">
      <alignment horizontal="center" vertical="top" shrinkToFit="1"/>
    </xf>
    <xf numFmtId="0" fontId="17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8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8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4" fillId="36" borderId="39" xfId="0" applyFont="1" applyFill="1" applyBorder="1"/>
    <xf numFmtId="0" fontId="34" fillId="36" borderId="42" xfId="0" applyFont="1" applyFill="1" applyBorder="1"/>
    <xf numFmtId="0" fontId="34" fillId="36" borderId="36" xfId="0" applyFont="1" applyFill="1" applyBorder="1" applyAlignment="1">
      <alignment horizontal="center" vertical="center" wrapText="1"/>
    </xf>
    <xf numFmtId="0" fontId="34" fillId="36" borderId="37" xfId="0" applyFont="1" applyFill="1" applyBorder="1" applyAlignment="1">
      <alignment horizontal="center" vertical="center" wrapText="1"/>
    </xf>
    <xf numFmtId="0" fontId="34" fillId="36" borderId="38" xfId="0" applyFont="1" applyFill="1" applyBorder="1" applyAlignment="1">
      <alignment horizontal="center" vertical="center" wrapText="1"/>
    </xf>
    <xf numFmtId="0" fontId="36" fillId="3" borderId="40" xfId="0" applyFont="1" applyFill="1" applyBorder="1"/>
    <xf numFmtId="1" fontId="35" fillId="3" borderId="40" xfId="27311" applyNumberFormat="1" applyFont="1" applyFill="1" applyBorder="1" applyAlignment="1">
      <alignment horizontal="center" vertical="center"/>
    </xf>
    <xf numFmtId="10" fontId="36" fillId="3" borderId="40" xfId="25094" applyNumberFormat="1" applyFont="1" applyFill="1" applyBorder="1" applyAlignment="1">
      <alignment horizontal="center"/>
    </xf>
    <xf numFmtId="0" fontId="36" fillId="3" borderId="41" xfId="0" applyFont="1" applyFill="1" applyBorder="1"/>
    <xf numFmtId="1" fontId="36" fillId="3" borderId="40" xfId="0" applyNumberFormat="1" applyFont="1" applyFill="1" applyBorder="1" applyAlignment="1">
      <alignment horizontal="center"/>
    </xf>
    <xf numFmtId="166" fontId="35" fillId="3" borderId="40" xfId="1" applyNumberFormat="1" applyFont="1" applyFill="1" applyBorder="1" applyAlignment="1">
      <alignment horizontal="center" vertical="center"/>
    </xf>
    <xf numFmtId="166" fontId="36" fillId="3" borderId="40" xfId="1" applyNumberFormat="1" applyFont="1" applyFill="1" applyBorder="1" applyAlignment="1">
      <alignment horizontal="center"/>
    </xf>
    <xf numFmtId="1" fontId="35" fillId="3" borderId="40" xfId="1" applyNumberFormat="1" applyFont="1" applyFill="1" applyBorder="1" applyAlignment="1">
      <alignment horizontal="center" vertical="center"/>
    </xf>
    <xf numFmtId="166" fontId="35" fillId="3" borderId="40" xfId="25094" applyNumberFormat="1" applyFont="1" applyFill="1" applyBorder="1" applyAlignment="1">
      <alignment horizontal="center" vertical="center"/>
    </xf>
    <xf numFmtId="0" fontId="36" fillId="3" borderId="43" xfId="0" applyFont="1" applyFill="1" applyBorder="1"/>
    <xf numFmtId="166" fontId="36" fillId="3" borderId="43" xfId="1" applyNumberFormat="1" applyFont="1" applyFill="1" applyBorder="1" applyAlignment="1">
      <alignment horizontal="center"/>
    </xf>
    <xf numFmtId="0" fontId="36" fillId="3" borderId="46" xfId="0" applyFont="1" applyFill="1" applyBorder="1"/>
    <xf numFmtId="1" fontId="35" fillId="3" borderId="46" xfId="27311" applyNumberFormat="1" applyFont="1" applyFill="1" applyBorder="1" applyAlignment="1">
      <alignment horizontal="center" vertical="center"/>
    </xf>
    <xf numFmtId="0" fontId="36" fillId="3" borderId="47" xfId="0" applyFont="1" applyFill="1" applyBorder="1"/>
    <xf numFmtId="1" fontId="35" fillId="3" borderId="43" xfId="27311" applyNumberFormat="1" applyFont="1" applyFill="1" applyBorder="1" applyAlignment="1">
      <alignment horizontal="center" vertical="center"/>
    </xf>
    <xf numFmtId="1" fontId="36" fillId="3" borderId="43" xfId="0" applyNumberFormat="1" applyFont="1" applyFill="1" applyBorder="1" applyAlignment="1">
      <alignment horizontal="center"/>
    </xf>
    <xf numFmtId="166" fontId="35" fillId="3" borderId="46" xfId="1" applyNumberFormat="1" applyFont="1" applyFill="1" applyBorder="1" applyAlignment="1">
      <alignment horizontal="center" vertical="center"/>
    </xf>
    <xf numFmtId="166" fontId="36" fillId="3" borderId="46" xfId="1" applyNumberFormat="1" applyFont="1" applyFill="1" applyBorder="1" applyAlignment="1">
      <alignment horizontal="center"/>
    </xf>
    <xf numFmtId="166" fontId="35" fillId="3" borderId="43" xfId="1" applyNumberFormat="1" applyFont="1" applyFill="1" applyBorder="1" applyAlignment="1">
      <alignment horizontal="center" vertical="center"/>
    </xf>
    <xf numFmtId="165" fontId="35" fillId="3" borderId="46" xfId="1" applyNumberFormat="1" applyFont="1" applyFill="1" applyBorder="1" applyAlignment="1">
      <alignment horizontal="center" vertical="center"/>
    </xf>
    <xf numFmtId="171" fontId="36" fillId="3" borderId="46" xfId="0" applyNumberFormat="1" applyFont="1" applyFill="1" applyBorder="1" applyAlignment="1">
      <alignment horizontal="center"/>
    </xf>
    <xf numFmtId="1" fontId="35" fillId="3" borderId="43" xfId="1" applyNumberFormat="1" applyFont="1" applyFill="1" applyBorder="1" applyAlignment="1">
      <alignment horizontal="center" vertical="center"/>
    </xf>
    <xf numFmtId="166" fontId="35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2" fillId="0" borderId="0" xfId="0" applyFont="1"/>
    <xf numFmtId="9" fontId="42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0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0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0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29" fillId="23" borderId="0" xfId="0" applyFont="1" applyFill="1" applyAlignment="1">
      <alignment horizontal="center" vertical="center" wrapText="1"/>
    </xf>
    <xf numFmtId="0" fontId="29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29" fillId="23" borderId="0" xfId="0" applyNumberFormat="1" applyFont="1" applyFill="1" applyAlignment="1">
      <alignment horizontal="center" vertical="center" wrapText="1"/>
    </xf>
    <xf numFmtId="15" fontId="38" fillId="38" borderId="0" xfId="0" applyNumberFormat="1" applyFont="1" applyFill="1" applyAlignment="1">
      <alignment horizontal="center" vertical="center"/>
    </xf>
    <xf numFmtId="0" fontId="22" fillId="23" borderId="49" xfId="0" applyFont="1" applyFill="1" applyBorder="1" applyAlignment="1">
      <alignment horizontal="center" vertical="center" wrapText="1"/>
    </xf>
    <xf numFmtId="167" fontId="22" fillId="23" borderId="20" xfId="0" applyNumberFormat="1" applyFont="1" applyFill="1" applyBorder="1" applyAlignment="1">
      <alignment horizontal="center" vertical="center" wrapText="1"/>
    </xf>
    <xf numFmtId="0" fontId="22" fillId="23" borderId="20" xfId="0" applyFont="1" applyFill="1" applyBorder="1" applyAlignment="1">
      <alignment horizontal="center" vertical="center" wrapText="1"/>
    </xf>
    <xf numFmtId="0" fontId="22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2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0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0" fontId="36" fillId="3" borderId="39" xfId="0" applyFont="1" applyFill="1" applyBorder="1" applyAlignment="1">
      <alignment horizontal="center" vertical="center"/>
    </xf>
    <xf numFmtId="0" fontId="34" fillId="36" borderId="58" xfId="0" applyFont="1" applyFill="1" applyBorder="1"/>
    <xf numFmtId="170" fontId="35" fillId="3" borderId="59" xfId="27312" applyNumberFormat="1" applyFont="1" applyFill="1" applyBorder="1" applyAlignment="1">
      <alignment horizontal="left" vertical="center"/>
    </xf>
    <xf numFmtId="170" fontId="35" fillId="3" borderId="59" xfId="27312" applyNumberFormat="1" applyFont="1" applyFill="1" applyBorder="1" applyAlignment="1">
      <alignment vertical="center"/>
    </xf>
    <xf numFmtId="170" fontId="35" fillId="3" borderId="60" xfId="27312" applyNumberFormat="1" applyFont="1" applyFill="1" applyBorder="1" applyAlignment="1">
      <alignment vertical="center"/>
    </xf>
    <xf numFmtId="167" fontId="35" fillId="3" borderId="59" xfId="27312" applyNumberFormat="1" applyFont="1" applyFill="1" applyBorder="1" applyAlignment="1">
      <alignment horizontal="left" vertical="center"/>
    </xf>
    <xf numFmtId="1" fontId="35" fillId="3" borderId="59" xfId="27312" applyNumberFormat="1" applyFont="1" applyFill="1" applyBorder="1" applyAlignment="1">
      <alignment horizontal="left" vertical="center"/>
    </xf>
    <xf numFmtId="0" fontId="34" fillId="36" borderId="61" xfId="0" applyFont="1" applyFill="1" applyBorder="1"/>
    <xf numFmtId="167" fontId="35" fillId="3" borderId="62" xfId="27312" applyNumberFormat="1" applyFont="1" applyFill="1" applyBorder="1" applyAlignment="1">
      <alignment horizontal="left" vertical="center"/>
    </xf>
    <xf numFmtId="170" fontId="35" fillId="3" borderId="63" xfId="27312" applyNumberFormat="1" applyFont="1" applyFill="1" applyBorder="1" applyAlignment="1">
      <alignment vertical="center"/>
    </xf>
    <xf numFmtId="170" fontId="35" fillId="3" borderId="64" xfId="27312" applyNumberFormat="1" applyFont="1" applyFill="1" applyBorder="1" applyAlignment="1">
      <alignment vertical="center"/>
    </xf>
    <xf numFmtId="0" fontId="23" fillId="3" borderId="0" xfId="27311" applyFill="1" applyAlignment="1">
      <alignment horizontal="center"/>
    </xf>
    <xf numFmtId="0" fontId="23" fillId="3" borderId="0" xfId="27311" applyFill="1"/>
    <xf numFmtId="0" fontId="23" fillId="3" borderId="0" xfId="27311" applyFill="1" applyAlignment="1">
      <alignment horizontal="right"/>
    </xf>
    <xf numFmtId="0" fontId="34" fillId="36" borderId="65" xfId="0" applyFont="1" applyFill="1" applyBorder="1" applyAlignment="1">
      <alignment horizontal="center" vertical="center" wrapText="1"/>
    </xf>
    <xf numFmtId="0" fontId="34" fillId="36" borderId="66" xfId="0" applyFont="1" applyFill="1" applyBorder="1" applyAlignment="1">
      <alignment horizontal="center" vertical="center" wrapText="1"/>
    </xf>
    <xf numFmtId="0" fontId="34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7" fillId="40" borderId="0" xfId="0" applyFont="1" applyFill="1" applyAlignment="1">
      <alignment vertical="center"/>
    </xf>
    <xf numFmtId="0" fontId="17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29" fillId="0" borderId="27" xfId="0" applyNumberFormat="1" applyFont="1" applyBorder="1" applyAlignment="1">
      <alignment horizontal="center" vertical="center" wrapText="1"/>
    </xf>
    <xf numFmtId="0" fontId="29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9" fontId="13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3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3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0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0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3" fillId="41" borderId="70" xfId="0" applyFont="1" applyFill="1" applyBorder="1" applyAlignment="1">
      <alignment horizontal="center" vertical="center" wrapText="1"/>
    </xf>
    <xf numFmtId="0" fontId="13" fillId="41" borderId="73" xfId="0" applyFont="1" applyFill="1" applyBorder="1" applyAlignment="1">
      <alignment horizontal="center" vertical="center" wrapText="1"/>
    </xf>
    <xf numFmtId="0" fontId="40" fillId="42" borderId="71" xfId="1" applyNumberFormat="1" applyFont="1" applyFill="1" applyBorder="1" applyAlignment="1">
      <alignment horizontal="center" vertical="center"/>
    </xf>
    <xf numFmtId="1" fontId="40" fillId="42" borderId="74" xfId="1" applyNumberFormat="1" applyFont="1" applyFill="1" applyBorder="1" applyAlignment="1">
      <alignment horizontal="center" vertical="center"/>
    </xf>
    <xf numFmtId="0" fontId="40" fillId="0" borderId="71" xfId="1" applyNumberFormat="1" applyFont="1" applyBorder="1" applyAlignment="1">
      <alignment horizontal="center" vertical="center"/>
    </xf>
    <xf numFmtId="1" fontId="40" fillId="0" borderId="74" xfId="1" applyNumberFormat="1" applyFont="1" applyBorder="1" applyAlignment="1">
      <alignment horizontal="center" vertical="center"/>
    </xf>
    <xf numFmtId="1" fontId="40" fillId="42" borderId="71" xfId="1" applyNumberFormat="1" applyFont="1" applyFill="1" applyBorder="1" applyAlignment="1">
      <alignment horizontal="center" vertical="center"/>
    </xf>
    <xf numFmtId="1" fontId="40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7" fillId="24" borderId="9" xfId="0" applyNumberFormat="1" applyFont="1" applyFill="1" applyBorder="1" applyAlignment="1">
      <alignment horizontal="center" vertical="center"/>
    </xf>
    <xf numFmtId="1" fontId="17" fillId="44" borderId="25" xfId="0" applyNumberFormat="1" applyFont="1" applyFill="1" applyBorder="1" applyAlignment="1">
      <alignment horizontal="center" vertical="center"/>
    </xf>
    <xf numFmtId="10" fontId="36" fillId="3" borderId="9" xfId="25094" applyNumberFormat="1" applyFont="1" applyFill="1" applyBorder="1" applyAlignment="1">
      <alignment horizontal="center"/>
    </xf>
    <xf numFmtId="15" fontId="44" fillId="38" borderId="26" xfId="0" applyNumberFormat="1" applyFont="1" applyFill="1" applyBorder="1" applyAlignment="1">
      <alignment horizontal="center" vertical="center"/>
    </xf>
    <xf numFmtId="0" fontId="36" fillId="3" borderId="75" xfId="0" applyFont="1" applyFill="1" applyBorder="1"/>
    <xf numFmtId="167" fontId="37" fillId="3" borderId="76" xfId="27311" applyNumberFormat="1" applyFont="1" applyFill="1" applyBorder="1" applyAlignment="1">
      <alignment horizontal="left" vertical="center"/>
    </xf>
    <xf numFmtId="10" fontId="36" fillId="3" borderId="77" xfId="25094" applyNumberFormat="1" applyFont="1" applyFill="1" applyBorder="1" applyAlignment="1">
      <alignment horizontal="center"/>
    </xf>
    <xf numFmtId="10" fontId="36" fillId="3" borderId="40" xfId="1" applyNumberFormat="1" applyFont="1" applyFill="1" applyBorder="1" applyAlignment="1">
      <alignment horizontal="center"/>
    </xf>
    <xf numFmtId="10" fontId="35" fillId="3" borderId="40" xfId="25094" applyNumberFormat="1" applyFont="1" applyFill="1" applyBorder="1" applyAlignment="1">
      <alignment horizontal="center" vertical="center"/>
    </xf>
    <xf numFmtId="0" fontId="36" fillId="3" borderId="41" xfId="0" applyFont="1" applyFill="1" applyBorder="1" applyProtection="1">
      <protection locked="0"/>
    </xf>
    <xf numFmtId="0" fontId="36" fillId="3" borderId="44" xfId="0" applyFont="1" applyFill="1" applyBorder="1" applyProtection="1">
      <protection locked="0"/>
    </xf>
    <xf numFmtId="1" fontId="36" fillId="3" borderId="47" xfId="0" applyNumberFormat="1" applyFont="1" applyFill="1" applyBorder="1" applyProtection="1">
      <protection locked="0"/>
    </xf>
    <xf numFmtId="0" fontId="36" fillId="3" borderId="47" xfId="0" applyFont="1" applyFill="1" applyBorder="1" applyProtection="1">
      <protection locked="0"/>
    </xf>
    <xf numFmtId="0" fontId="36" fillId="3" borderId="41" xfId="0" applyFont="1" applyFill="1" applyBorder="1" applyAlignment="1" applyProtection="1">
      <alignment wrapText="1"/>
      <protection locked="0"/>
    </xf>
    <xf numFmtId="0" fontId="36" fillId="3" borderId="44" xfId="0" applyFont="1" applyFill="1" applyBorder="1" applyAlignment="1" applyProtection="1">
      <alignment wrapText="1"/>
      <protection locked="0"/>
    </xf>
    <xf numFmtId="0" fontId="36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2" fillId="46" borderId="26" xfId="0" applyFont="1" applyFill="1" applyBorder="1"/>
    <xf numFmtId="0" fontId="42" fillId="47" borderId="26" xfId="0" applyFont="1" applyFill="1" applyBorder="1"/>
    <xf numFmtId="0" fontId="42" fillId="46" borderId="26" xfId="0" applyFont="1" applyFill="1" applyBorder="1" applyAlignment="1">
      <alignment horizontal="center"/>
    </xf>
    <xf numFmtId="0" fontId="42" fillId="45" borderId="26" xfId="0" applyFont="1" applyFill="1" applyBorder="1" applyAlignment="1">
      <alignment horizontal="center"/>
    </xf>
    <xf numFmtId="0" fontId="42" fillId="47" borderId="26" xfId="0" applyFont="1" applyFill="1" applyBorder="1" applyAlignment="1">
      <alignment horizontal="center"/>
    </xf>
    <xf numFmtId="20" fontId="45" fillId="45" borderId="26" xfId="0" applyNumberFormat="1" applyFont="1" applyFill="1" applyBorder="1" applyAlignment="1">
      <alignment horizontal="center"/>
    </xf>
    <xf numFmtId="0" fontId="42" fillId="45" borderId="12" xfId="0" applyFont="1" applyFill="1" applyBorder="1"/>
    <xf numFmtId="0" fontId="42" fillId="45" borderId="12" xfId="0" applyFont="1" applyFill="1" applyBorder="1" applyAlignment="1">
      <alignment wrapText="1"/>
    </xf>
    <xf numFmtId="0" fontId="42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2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2" fillId="47" borderId="26" xfId="0" applyNumberFormat="1" applyFont="1" applyFill="1" applyBorder="1" applyAlignment="1">
      <alignment horizontal="center" vertical="center"/>
    </xf>
    <xf numFmtId="0" fontId="42" fillId="47" borderId="26" xfId="0" applyFont="1" applyFill="1" applyBorder="1" applyAlignment="1">
      <alignment horizontal="center" vertical="center"/>
    </xf>
    <xf numFmtId="20" fontId="45" fillId="45" borderId="26" xfId="0" applyNumberFormat="1" applyFont="1" applyFill="1" applyBorder="1" applyAlignment="1">
      <alignment horizontal="center" vertical="center"/>
    </xf>
    <xf numFmtId="0" fontId="42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0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0" fillId="38" borderId="26" xfId="0" applyNumberFormat="1" applyFont="1" applyFill="1" applyBorder="1" applyAlignment="1">
      <alignment horizontal="center" vertical="center"/>
    </xf>
    <xf numFmtId="168" fontId="40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165" fontId="0" fillId="0" borderId="0" xfId="0" applyNumberFormat="1"/>
    <xf numFmtId="166" fontId="1" fillId="0" borderId="9" xfId="0" applyNumberFormat="1" applyFont="1" applyBorder="1"/>
    <xf numFmtId="166" fontId="1" fillId="0" borderId="11" xfId="0" applyNumberFormat="1" applyFont="1" applyBorder="1" applyAlignment="1">
      <alignment horizontal="center"/>
    </xf>
    <xf numFmtId="0" fontId="33" fillId="36" borderId="55" xfId="0" applyFont="1" applyFill="1" applyBorder="1" applyAlignment="1">
      <alignment horizontal="center" vertical="center"/>
    </xf>
    <xf numFmtId="0" fontId="33" fillId="36" borderId="56" xfId="0" applyFont="1" applyFill="1" applyBorder="1" applyAlignment="1">
      <alignment horizontal="center" vertical="center"/>
    </xf>
    <xf numFmtId="0" fontId="33" fillId="36" borderId="57" xfId="0" applyFont="1" applyFill="1" applyBorder="1" applyAlignment="1">
      <alignment horizontal="center" vertical="center"/>
    </xf>
    <xf numFmtId="167" fontId="35" fillId="3" borderId="43" xfId="27311" applyNumberFormat="1" applyFont="1" applyFill="1" applyBorder="1" applyAlignment="1">
      <alignment horizontal="left" vertical="center"/>
    </xf>
    <xf numFmtId="167" fontId="35" fillId="3" borderId="44" xfId="27311" applyNumberFormat="1" applyFont="1" applyFill="1" applyBorder="1" applyAlignment="1">
      <alignment horizontal="left" vertical="center"/>
    </xf>
    <xf numFmtId="0" fontId="33" fillId="36" borderId="36" xfId="0" applyFont="1" applyFill="1" applyBorder="1" applyAlignment="1">
      <alignment horizontal="center"/>
    </xf>
    <xf numFmtId="0" fontId="33" fillId="36" borderId="37" xfId="0" applyFont="1" applyFill="1" applyBorder="1" applyAlignment="1">
      <alignment horizontal="center"/>
    </xf>
    <xf numFmtId="0" fontId="33" fillId="36" borderId="38" xfId="0" applyFont="1" applyFill="1" applyBorder="1" applyAlignment="1">
      <alignment horizontal="center"/>
    </xf>
    <xf numFmtId="170" fontId="35" fillId="3" borderId="40" xfId="27311" applyNumberFormat="1" applyFont="1" applyFill="1" applyBorder="1" applyAlignment="1" applyProtection="1">
      <alignment horizontal="left" vertical="center"/>
      <protection locked="0"/>
    </xf>
    <xf numFmtId="170" fontId="35" fillId="3" borderId="41" xfId="27311" applyNumberFormat="1" applyFont="1" applyFill="1" applyBorder="1" applyAlignment="1" applyProtection="1">
      <alignment horizontal="left" vertical="center"/>
      <protection locked="0"/>
    </xf>
    <xf numFmtId="167" fontId="35" fillId="3" borderId="40" xfId="27311" applyNumberFormat="1" applyFont="1" applyFill="1" applyBorder="1" applyAlignment="1" applyProtection="1">
      <alignment horizontal="left" vertical="center"/>
      <protection locked="0"/>
    </xf>
    <xf numFmtId="167" fontId="35" fillId="3" borderId="41" xfId="27311" applyNumberFormat="1" applyFont="1" applyFill="1" applyBorder="1" applyAlignment="1" applyProtection="1">
      <alignment horizontal="left" vertical="center"/>
      <protection locked="0"/>
    </xf>
    <xf numFmtId="0" fontId="36" fillId="3" borderId="40" xfId="0" applyFont="1" applyFill="1" applyBorder="1" applyAlignment="1">
      <alignment horizontal="left"/>
    </xf>
    <xf numFmtId="0" fontId="36" fillId="3" borderId="41" xfId="0" applyFont="1" applyFill="1" applyBorder="1" applyAlignment="1">
      <alignment horizontal="left"/>
    </xf>
    <xf numFmtId="167" fontId="35" fillId="3" borderId="40" xfId="27311" applyNumberFormat="1" applyFont="1" applyFill="1" applyBorder="1" applyAlignment="1">
      <alignment horizontal="left" vertical="center"/>
    </xf>
    <xf numFmtId="167" fontId="35" fillId="3" borderId="41" xfId="27311" applyNumberFormat="1" applyFont="1" applyFill="1" applyBorder="1" applyAlignment="1">
      <alignment horizontal="left" vertical="center"/>
    </xf>
    <xf numFmtId="0" fontId="36" fillId="3" borderId="45" xfId="0" applyFont="1" applyFill="1" applyBorder="1" applyAlignment="1">
      <alignment horizontal="center" vertical="center"/>
    </xf>
    <xf numFmtId="0" fontId="36" fillId="3" borderId="39" xfId="0" applyFont="1" applyFill="1" applyBorder="1" applyAlignment="1">
      <alignment horizontal="center" vertical="center"/>
    </xf>
    <xf numFmtId="0" fontId="36" fillId="3" borderId="42" xfId="0" applyFont="1" applyFill="1" applyBorder="1" applyAlignment="1">
      <alignment horizontal="center" vertical="center"/>
    </xf>
    <xf numFmtId="0" fontId="32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20" totalsRowDxfId="517" headerRowBorderDxfId="519" tableBorderDxfId="518" totalsRowBorderDxfId="516">
  <autoFilter ref="A1:AS369" xr:uid="{3B203726-2095-49D8-A694-A659B4A14C0A}"/>
  <tableColumns count="45">
    <tableColumn id="1" xr3:uid="{F5BFFC81-B987-4126-BE91-59886E613BF8}" name="Date" dataDxfId="515" totalsRowDxfId="514"/>
    <tableColumn id="2" xr3:uid="{75130F27-9EDF-49D5-A606-A61306970D84}" name="Financial Year" dataDxfId="513" totalsRowDxfId="512">
      <calculatedColumnFormula>YEAR(Daily_KPI[[#This Row],[Date]])+IF(MONTH(Daily_KPI[[#This Row],[Date]])&gt;=4,1,0)</calculatedColumnFormula>
    </tableColumn>
    <tableColumn id="3" xr3:uid="{E239AF18-FA73-463E-A754-CB23A6604A6E}" name="Calendar Year" dataDxfId="511" totalsRowDxfId="510">
      <calculatedColumnFormula>YEAR(Daily_KPI[[#This Row],[Date]])</calculatedColumnFormula>
    </tableColumn>
    <tableColumn id="4" xr3:uid="{4229D431-4335-47D6-85DB-A1EC35FD2101}" name="Month Year" dataDxfId="509" totalsRowDxfId="508">
      <calculatedColumnFormula>Daily_KPI[[#This Row],[Date]]-DAY(Daily_KPI[[#This Row],[Date]])+1</calculatedColumnFormula>
    </tableColumn>
    <tableColumn id="5" xr3:uid="{83D6E9F4-8FD4-4A34-8A56-56806F6AFCA3}" name="Days" dataDxfId="507" totalsRowDxfId="506">
      <calculatedColumnFormula>DAY(EOMONTH(A2,0))</calculatedColumnFormula>
    </tableColumn>
    <tableColumn id="6" xr3:uid="{E8E0F5F5-825D-4CC0-8923-E4122B157B9C}" name="Operating Hours" dataDxfId="505">
      <calculatedColumnFormula>IFERROR(_xlfn.XLOOKUP($A2,'Raw Data'!$A:$A,'Raw Data'!$BR:$BR),"")</calculatedColumnFormula>
    </tableColumn>
    <tableColumn id="7" xr3:uid="{F42F490C-9CDE-4A9C-AA57-36F064AB06D1}" name="GHI-UP (KWh/m2)" dataDxfId="504" totalsRowDxfId="503">
      <calculatedColumnFormula>IFERROR(_xlfn.XLOOKUP($A2,'Raw Data'!$A:$A,'Raw Data'!$AO:$AO),"")</calculatedColumnFormula>
    </tableColumn>
    <tableColumn id="8" xr3:uid="{65A6EF02-8DFB-43CC-BDDA-F12799E308E8}" name="GHI-Down(KWh/m2)" dataDxfId="502" totalsRowDxfId="501"/>
    <tableColumn id="9" xr3:uid="{C13D0CE8-5CA2-46B9-830F-BD300CE81807}" name="POA-UP(KWh/m2)" dataDxfId="500" totalsRowDxfId="499">
      <calculatedColumnFormula>IFERROR(_xlfn.XLOOKUP($A2,'Raw Data'!$A:$A,'Raw Data'!$AR:$AR),"")</calculatedColumnFormula>
    </tableColumn>
    <tableColumn id="10" xr3:uid="{4269EB1D-1E61-4815-A733-AF565D909D5A}" name="POA-Down(KWh/m2)" dataDxfId="498"/>
    <tableColumn id="11" xr3:uid="{5A392DF8-4C62-4861-9BFF-D9F6C132EAD6}" name="Amb_Temp(°C)" dataDxfId="497" totalsRowDxfId="496">
      <calculatedColumnFormula>IFERROR(_xlfn.XLOOKUP($A2,'Raw Data'!$A:$A,'Raw Data'!$AV:$AV),"")</calculatedColumnFormula>
    </tableColumn>
    <tableColumn id="12" xr3:uid="{D01667CB-3CA1-4C37-A667-C4B88C52900B}" name="Mod_Temp(°C)" dataDxfId="495" totalsRowDxfId="494">
      <calculatedColumnFormula>IFERROR(_xlfn.XLOOKUP($A2,'Raw Data'!$A:$A,'Raw Data'!$AW:$AW),"")</calculatedColumnFormula>
    </tableColumn>
    <tableColumn id="13" xr3:uid="{F777F1FE-BC7F-484B-80B3-A936F524D8D1}" name="WS_Avg(m/s)" dataDxfId="493" totalsRowDxfId="492">
      <calculatedColumnFormula>IFERROR(_xlfn.XLOOKUP($A2,'Raw Data'!$A:$A,'Raw Data'!$AX:$AX),"")</calculatedColumnFormula>
    </tableColumn>
    <tableColumn id="14" xr3:uid="{E16102E2-A847-410D-B738-84E7E84FA4A6}" name="WS_Max(m/s)" dataDxfId="491" totalsRowDxfId="490">
      <calculatedColumnFormula>IFERROR(_xlfn.XLOOKUP($A2,'Raw Data'!$A:$A,'Raw Data'!$AY:$AY),"")</calculatedColumnFormula>
    </tableColumn>
    <tableColumn id="15" xr3:uid="{EAA22643-B515-43C4-BDCD-D67B3AF6D3CF}" name="PA(%)" dataDxfId="489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8" totalsRowDxfId="487"/>
    <tableColumn id="17" xr3:uid="{E4332F2B-941F-4C47-BAAD-46501294884C}" name="IGA (%)" dataDxfId="486" totalsRowDxfId="485"/>
    <tableColumn id="18" xr3:uid="{AC6895AE-B1C1-4E3E-88E8-04070A7DD96A}" name="EGA(%)" dataDxfId="484" totalsRowDxfId="483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82" totalsRowDxfId="481"/>
    <tableColumn id="20" xr3:uid="{504E086A-3A04-4F3B-B96E-5C76A9BCBCFA}" name="TA (%)" dataDxfId="480" totalsRowDxfId="479"/>
    <tableColumn id="21" xr3:uid="{FA46F933-6DF4-4797-A3AD-75282A12D9E9}" name="PR(%)" dataDxfId="478" totalsRowDxfId="477">
      <calculatedColumnFormula>IFERROR(AA2/I2/AB2/1000,"")</calculatedColumnFormula>
    </tableColumn>
    <tableColumn id="22" xr3:uid="{E97A03C9-E281-4035-83FB-E54B3F2FC014}" name="WPR(%)" dataDxfId="476" totalsRowDxfId="475"/>
    <tableColumn id="23" xr3:uid="{417C9520-EF06-4108-8136-2EC768C945AE}" name="CUF(%)" dataDxfId="474">
      <calculatedColumnFormula>IFERROR(AA2/(24*AB2*1000),"")</calculatedColumnFormula>
    </tableColumn>
    <tableColumn id="24" xr3:uid="{9A476C9B-3136-487B-AC85-031952427EAA}" name="Gen_Exp (kWh)" dataDxfId="473" totalsRowDxfId="472">
      <calculatedColumnFormula>IFERROR(_xlfn.XLOOKUP($A2,'Raw Data'!$A:$A,'Raw Data'!$BA:$BA),"")</calculatedColumnFormula>
    </tableColumn>
    <tableColumn id="25" xr3:uid="{D7815EA6-3AA0-4E1C-B095-B024DB753C53}" name="Mtr_Export (kWh)" dataDxfId="471" totalsRowDxfId="470">
      <calculatedColumnFormula>IFERROR(_xlfn.XLOOKUP($A2,'Raw Data'!$A:$A,'Raw Data'!BJ:BJ),"")</calculatedColumnFormula>
    </tableColumn>
    <tableColumn id="26" xr3:uid="{8176FA12-612A-4C80-9912-CC6236181A13}" name="Mtr_Import (kWh)" dataDxfId="469" totalsRowDxfId="468">
      <calculatedColumnFormula>IFERROR(_xlfn.XLOOKUP($A2,'Raw Data'!$A:$A,'Raw Data'!BK:BK),"")</calculatedColumnFormula>
    </tableColumn>
    <tableColumn id="27" xr3:uid="{E66E47EA-C1C4-4AEB-86CC-70A0B2F069FC}" name="Mtr_Net_Exp (KWh)" dataDxfId="467">
      <calculatedColumnFormula>IFERROR(_xlfn.XLOOKUP($A2,'Raw Data'!$A:$A,'Raw Data'!BL:BL),"")</calculatedColumnFormula>
    </tableColumn>
    <tableColumn id="28" xr3:uid="{1E5E3F1A-399B-4CD6-AB36-938F5FDA0A9A}" name="Operational Capacity (MW)" dataDxfId="466" totalsRowDxfId="465">
      <calculatedColumnFormula>IFERROR(_xlfn.XLOOKUP($A2,'Raw Data'!$A:$A,'Raw Data'!$H:$H),"")</calculatedColumnFormula>
    </tableColumn>
    <tableColumn id="29" xr3:uid="{1DB8B270-4DCC-43A0-B8DA-3282EE12D6C0}" name="Bugt_Resource" dataDxfId="464" totalsRowDxfId="463">
      <calculatedColumnFormula>IFERROR(_xlfn.XLOOKUP($D2,'Modelling New'!$D:$D,'Modelling New'!$P:$P),"")</calculatedColumnFormula>
    </tableColumn>
    <tableColumn id="30" xr3:uid="{54D8EDB2-50DD-4E6B-BB0A-3AF2D2683CA7}" name="Bugt_Energy" dataDxfId="462" totalsRowDxfId="461">
      <calculatedColumnFormula>IFERROR(_xlfn.XLOOKUP($D2,'Modelling New'!$D:$D,'Modelling New'!$T:$T)*1000,"")</calculatedColumnFormula>
    </tableColumn>
    <tableColumn id="43" xr3:uid="{1061EE1F-1163-4E19-81C7-2E7A6E2CAFEB}" name="Bugt PR" dataDxfId="460">
      <calculatedColumnFormula>IFERROR(_xlfn.XLOOKUP($D2,'Modelling New'!$D:$D,'Modelling New'!$O:$O),"")</calculatedColumnFormula>
    </tableColumn>
    <tableColumn id="42" xr3:uid="{9ECBFE76-1401-4144-BBA0-90FC358C9EB7}" name="Bugt CUF" dataDxfId="459" totalsRowDxfId="458">
      <calculatedColumnFormula>IFERROR(_xlfn.XLOOKUP($D2,'Modelling New'!$D:$D,'Modelling New'!$W:$W),"")</calculatedColumnFormula>
    </tableColumn>
    <tableColumn id="31" xr3:uid="{22B7D7CD-EC61-4435-87E5-DED41274718E}" name="Bugt_PA" dataDxfId="457" totalsRowDxfId="456">
      <calculatedColumnFormula>IFERROR(_xlfn.XLOOKUP($D2,'Modelling New'!$D:$D,'Modelling New'!AE:AE),"")</calculatedColumnFormula>
    </tableColumn>
    <tableColumn id="32" xr3:uid="{BEB35848-C6D0-409C-B9E2-9B2A8A7B5423}" name="Bugt_EGA" dataDxfId="455" totalsRowDxfId="454"/>
    <tableColumn id="33" xr3:uid="{6C6653AE-2F24-4EE7-8362-B3031B477260}" name="Expected Energy" dataDxfId="453" totalsRowDxfId="452"/>
    <tableColumn id="34" xr3:uid="{54713ED6-80AF-449E-A815-A50EF779B01E}" name="Actual Energy WPR" dataDxfId="451" totalsRowDxfId="450"/>
    <tableColumn id="35" xr3:uid="{3CEF8A30-2AB5-4119-8BD4-ACA1B5C82363}" name="RA (%)" dataDxfId="449" totalsRowDxfId="448"/>
    <tableColumn id="36" xr3:uid="{03D7BB3E-28E9-4B02-9090-1168DD513601}" name="Mod Clean Dry (Num)" dataDxfId="447" totalsRowDxfId="446"/>
    <tableColumn id="37" xr3:uid="{F05C5BE5-FCCF-4742-9660-CF12964DF138}" name="Mod Clean Wet (Num)" dataDxfId="445" totalsRowDxfId="444"/>
    <tableColumn id="38" xr3:uid="{CEE4624F-EB12-4A9A-8500-3F102918F758}" name="Line Loss(%)" dataDxfId="443" totalsRowDxfId="442"/>
    <tableColumn id="39" xr3:uid="{34EEAB2B-5884-4CDD-9079-9B1AC38024BB}" name="Reactive Power (%)" dataDxfId="441"/>
    <tableColumn id="40" xr3:uid="{309FAC4D-7CA6-4C4A-B535-5EE64F7395CE}" name="Bugt Line loss (%) (Wind)" dataDxfId="440" totalsRowDxfId="439"/>
    <tableColumn id="41" xr3:uid="{79BDD337-59C4-4C7E-A599-04D044FE1BC3}" name="Bugt Reactive Power (%) (Wind)" dataDxfId="438" totalsRowDxfId="437"/>
    <tableColumn id="45" xr3:uid="{1549ABC6-51B7-4EDE-A078-30CF8971E99A}" name="Bugt Capacity" dataDxfId="436" totalsRowDxfId="435">
      <calculatedColumnFormula>IFERROR(_xlfn.XLOOKUP($D2,'Modelling New'!$D:$D,'Modelling New'!$N:$N),"")</calculatedColumnFormula>
    </tableColumn>
    <tableColumn id="44" xr3:uid="{BF436216-EE9C-46C2-921C-E10D5BDFDAD7}" name="CC*Bugt" dataDxfId="434" totalsRowDxfId="43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32" dataDxfId="430" headerRowBorderDxfId="431" tableBorderDxfId="429" totalsRowBorderDxfId="428">
  <tableColumns count="26">
    <tableColumn id="1" xr3:uid="{00000000-0010-0000-0500-000001000000}" name="Finacial Year" dataDxfId="427"/>
    <tableColumn id="2" xr3:uid="{00000000-0010-0000-0500-000002000000}" name="Start Month" dataDxfId="426"/>
    <tableColumn id="3" xr3:uid="{00000000-0010-0000-0500-000003000000}" name="Calendor Year" dataDxfId="425"/>
    <tableColumn id="4" xr3:uid="{00000000-0010-0000-0500-000004000000}" name="Contrcatual Year" dataDxfId="424"/>
    <tableColumn id="5" xr3:uid="{00000000-0010-0000-0500-000005000000}" name="Operating Year" dataDxfId="423"/>
    <tableColumn id="8" xr3:uid="{00000000-0010-0000-0500-000008000000}" name="Date" dataDxfId="422">
      <calculatedColumnFormula>'Daily Dashboard'!B5-32</calculatedColumnFormula>
    </tableColumn>
    <tableColumn id="10" xr3:uid="{00000000-0010-0000-0500-00000A000000}" name="G1 Inv1" dataDxfId="421">
      <calculatedColumnFormula>IFERROR(Inv_SY!F4/Inv_SY!$P4-1,"")</calculatedColumnFormula>
    </tableColumn>
    <tableColumn id="11" xr3:uid="{00000000-0010-0000-0500-00000B000000}" name="G1 Inv2" dataDxfId="420">
      <calculatedColumnFormula>IFERROR(Inv_SY!G4/Inv_SY!$P4-1,"")</calculatedColumnFormula>
    </tableColumn>
    <tableColumn id="12" xr3:uid="{00000000-0010-0000-0500-00000C000000}" name="G2 Inv3" dataDxfId="419">
      <calculatedColumnFormula>IFERROR(Inv_SY!H4/Inv_SY!$P4-1,"")</calculatedColumnFormula>
    </tableColumn>
    <tableColumn id="13" xr3:uid="{00000000-0010-0000-0500-00000D000000}" name="G2 Inv4" dataDxfId="418">
      <calculatedColumnFormula>IFERROR(Inv_SY!I4/Inv_SY!$P4-1,"")</calculatedColumnFormula>
    </tableColumn>
    <tableColumn id="14" xr3:uid="{00000000-0010-0000-0500-00000E000000}" name="G3 Inv5" dataDxfId="417">
      <calculatedColumnFormula>IFERROR(Inv_SY!J4/Inv_SY!$P4-1,"")</calculatedColumnFormula>
    </tableColumn>
    <tableColumn id="15" xr3:uid="{00000000-0010-0000-0500-00000F000000}" name="G3 Inv6" dataDxfId="416">
      <calculatedColumnFormula>IFERROR(Inv_SY!K4/Inv_SY!$P4-1,"")</calculatedColumnFormula>
    </tableColumn>
    <tableColumn id="16" xr3:uid="{00000000-0010-0000-0500-000010000000}" name="G4 Inv7" dataDxfId="415">
      <calculatedColumnFormula>IFERROR(Inv_SY!L4/Inv_SY!$P4-1,"")</calculatedColumnFormula>
    </tableColumn>
    <tableColumn id="17" xr3:uid="{00000000-0010-0000-0500-000011000000}" name="G4 Inv8" dataDxfId="414">
      <calculatedColumnFormula>IFERROR(Inv_SY!M4/Inv_SY!$P4-1,"")</calculatedColumnFormula>
    </tableColumn>
    <tableColumn id="18" xr3:uid="{00000000-0010-0000-0500-000012000000}" name="G5 Inv9" dataDxfId="413">
      <calculatedColumnFormula>IFERROR(Inv_SY!N4/Inv_SY!$P4-1,"")</calculatedColumnFormula>
    </tableColumn>
    <tableColumn id="19" xr3:uid="{00000000-0010-0000-0500-000013000000}" name="G5 Inv10" dataDxfId="412">
      <calculatedColumnFormula>IFERROR(Inv_SY!O4/Inv_SY!$P4-1,"")</calculatedColumnFormula>
    </tableColumn>
    <tableColumn id="25" xr3:uid="{ADEA967E-3721-4A81-AB05-7ED229564FAE}" name="IS1_Inv1_M1" dataDxfId="411">
      <calculatedColumnFormula>IFERROR(Inv_SY!Q4/Inv_SY!$AA4-1,"")</calculatedColumnFormula>
    </tableColumn>
    <tableColumn id="26" xr3:uid="{160C7547-44B0-436F-B13F-23A3799CEF5A}" name="IS1_Inv1_M2" dataDxfId="410">
      <calculatedColumnFormula>IFERROR(Inv_SY!R4/Inv_SY!$AA4-1,"")</calculatedColumnFormula>
    </tableColumn>
    <tableColumn id="27" xr3:uid="{BD4D6DEE-DD08-4AE0-83C1-AC48E10C3D7F}" name="IS1_Inv1_M3" dataDxfId="409">
      <calculatedColumnFormula>IFERROR(Inv_SY!S4/Inv_SY!$AA4-1,"")</calculatedColumnFormula>
    </tableColumn>
    <tableColumn id="28" xr3:uid="{223B7DB1-EBE1-4531-8707-53605DDC6168}" name="IS1_Inv1_M4" dataDxfId="408">
      <calculatedColumnFormula>IFERROR(Inv_SY!T4/Inv_SY!$AA4-1,"")</calculatedColumnFormula>
    </tableColumn>
    <tableColumn id="29" xr3:uid="{5CD34C30-FBA1-4250-8C7B-E4F9A86D3D4C}" name="IS1_Inv2_M1" dataDxfId="407">
      <calculatedColumnFormula>IFERROR(Inv_SY!U4/Inv_SY!$AA4-1,"")</calculatedColumnFormula>
    </tableColumn>
    <tableColumn id="30" xr3:uid="{A9005520-EBE2-4102-8357-5C69519E94C2}" name="IS1_Inv2_M2" dataDxfId="406">
      <calculatedColumnFormula>IFERROR(Inv_SY!V4/Inv_SY!$AA4-1,"")</calculatedColumnFormula>
    </tableColumn>
    <tableColumn id="31" xr3:uid="{0E478C98-9EA7-4230-ABAC-F381CE7DF0CD}" name="IS1_Inv2_M3" dataDxfId="405">
      <calculatedColumnFormula>IFERROR(Inv_SY!W4/Inv_SY!$AA4-1,"")</calculatedColumnFormula>
    </tableColumn>
    <tableColumn id="32" xr3:uid="{C4DAF98F-3478-4B30-A560-0F280F36975A}" name="IS1_Inv2_M4" dataDxfId="404">
      <calculatedColumnFormula>IFERROR(Inv_SY!X4/Inv_SY!$AA4-1,"")</calculatedColumnFormula>
    </tableColumn>
    <tableColumn id="33" xr3:uid="{9A17E404-1058-44AA-BEB2-3A2BC7A2189D}" name="IS2_Inv1" dataDxfId="403">
      <calculatedColumnFormula>IFERROR(Inv_SY!Y4/Inv_SY!$AA4-1,"")</calculatedColumnFormula>
    </tableColumn>
    <tableColumn id="34" xr3:uid="{A9C89E7B-1EC9-40A5-9541-6C6080762A12}" name="IS1_Inv2" dataDxfId="402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401" dataDxfId="400">
  <tableColumns count="28">
    <tableColumn id="1" xr3:uid="{00000000-0010-0000-0200-000001000000}" name="Finacial Year" dataDxfId="399"/>
    <tableColumn id="2" xr3:uid="{00000000-0010-0000-0200-000002000000}" name="Start Month" dataDxfId="398"/>
    <tableColumn id="3" xr3:uid="{00000000-0010-0000-0200-000003000000}" name="Calendor Year" dataDxfId="397">
      <calculatedColumnFormula>YEAR(RD[[#This Row],[Month Year]])</calculatedColumnFormula>
    </tableColumn>
    <tableColumn id="4" xr3:uid="{00000000-0010-0000-0200-000004000000}" name="Contrcatual Year" dataDxfId="396"/>
    <tableColumn id="8" xr3:uid="{00000000-0010-0000-0200-000008000000}" name="Date" dataDxfId="395"/>
    <tableColumn id="13" xr3:uid="{5243FB26-6669-4F62-83AB-DE6F49B46F41}" name="G1 Inv1" dataDxfId="394">
      <calculatedColumnFormula>VLOOKUP(Inv_Sy[[#This Row],[Date]],RD[#All],F$1,0)/F$2</calculatedColumnFormula>
    </tableColumn>
    <tableColumn id="14" xr3:uid="{3667C0E2-57F9-430B-A942-C7BF935BD600}" name="G1 Inv2" dataDxfId="393">
      <calculatedColumnFormula>VLOOKUP(Inv_Sy[[#This Row],[Date]],RD[#All],G$1,0)/G$2</calculatedColumnFormula>
    </tableColumn>
    <tableColumn id="15" xr3:uid="{5E1E6FF5-CA93-448D-804B-1DF7CF6EE058}" name="G2 Inv3" dataDxfId="392">
      <calculatedColumnFormula>VLOOKUP(Inv_Sy[[#This Row],[Date]],RD[#All],H$1,0)/H$2</calculatedColumnFormula>
    </tableColumn>
    <tableColumn id="18" xr3:uid="{3F32083E-F86A-4FBF-A83A-D001FD9AB3EF}" name="G2 Inv4" dataDxfId="391">
      <calculatedColumnFormula>VLOOKUP(Inv_Sy[[#This Row],[Date]],RD[#All],I$1,0)/I$2</calculatedColumnFormula>
    </tableColumn>
    <tableColumn id="19" xr3:uid="{B2258F54-F4DE-4898-BD19-CB1247DEC6B7}" name="G3 Inv5" dataDxfId="390">
      <calculatedColumnFormula>VLOOKUP(Inv_Sy[[#This Row],[Date]],RD[#All],J$1,0)/J$2</calculatedColumnFormula>
    </tableColumn>
    <tableColumn id="20" xr3:uid="{7D717CEE-46E0-4E1A-A989-041089399C49}" name="G3 Inv6" dataDxfId="389">
      <calculatedColumnFormula>VLOOKUP(Inv_Sy[[#This Row],[Date]],RD[#All],K$1,0)/K$2</calculatedColumnFormula>
    </tableColumn>
    <tableColumn id="21" xr3:uid="{4241E952-2855-4CEB-B544-1DE7A8A92A73}" name="G4 Inv7" dataDxfId="388">
      <calculatedColumnFormula>VLOOKUP(Inv_Sy[[#This Row],[Date]],RD[#All],L$1,0)/L$2</calculatedColumnFormula>
    </tableColumn>
    <tableColumn id="22" xr3:uid="{EC1071B7-3141-4DE5-924D-D9ABDDE680D7}" name="G4 Inv8" dataDxfId="387">
      <calculatedColumnFormula>VLOOKUP(Inv_Sy[[#This Row],[Date]],RD[#All],M$1,0)/M$2</calculatedColumnFormula>
    </tableColumn>
    <tableColumn id="23" xr3:uid="{E4A31526-7BAB-463B-9DF2-A955F54BEAFC}" name="G5 Inv9" dataDxfId="386">
      <calculatedColumnFormula>VLOOKUP(Inv_Sy[[#This Row],[Date]],RD[#All],N$1,0)/N$2</calculatedColumnFormula>
    </tableColumn>
    <tableColumn id="24" xr3:uid="{A0CC1EDE-FAAE-4FB0-AAEA-4F8DCFCB9202}" name="G5 Inv10" dataDxfId="385">
      <calculatedColumnFormula>VLOOKUP(Inv_Sy[[#This Row],[Date]],RD[#All],O$1,0)/O$2</calculatedColumnFormula>
    </tableColumn>
    <tableColumn id="5" xr3:uid="{866C7418-12C2-4A06-9731-A48C6FC7CC9F}" name="PSEGPL" dataDxfId="384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3">
      <calculatedColumnFormula>VLOOKUP(Inv_Sy[[#This Row],[Date]],RD[#All],Q$1,0)/Q$2</calculatedColumnFormula>
    </tableColumn>
    <tableColumn id="11" xr3:uid="{544387D4-2037-42D4-B5A9-FEC6FEA5C1D0}" name="IS1_Inv1_M2" dataDxfId="382">
      <calculatedColumnFormula>VLOOKUP(Inv_Sy[[#This Row],[Date]],RD[#All],R$1,0)/R$2</calculatedColumnFormula>
    </tableColumn>
    <tableColumn id="12" xr3:uid="{10674192-C13D-4196-9A78-C20DADC583DC}" name="IS1_Inv1_M3" dataDxfId="381">
      <calculatedColumnFormula>VLOOKUP(Inv_Sy[[#This Row],[Date]],RD[#All],S$1,0)/S$2</calculatedColumnFormula>
    </tableColumn>
    <tableColumn id="25" xr3:uid="{633BA55F-94F4-4EB2-BE5B-88AA8D4CF12F}" name="IS1_Inv1_M4" dataDxfId="380">
      <calculatedColumnFormula>VLOOKUP(Inv_Sy[[#This Row],[Date]],RD[#All],T$1,0)/T$2</calculatedColumnFormula>
    </tableColumn>
    <tableColumn id="26" xr3:uid="{024C0B51-D741-4E3D-825F-F15AF247A13F}" name="IS1_Inv2_M1" dataDxfId="379">
      <calculatedColumnFormula>VLOOKUP(Inv_Sy[[#This Row],[Date]],RD[#All],U$1,0)/U$2</calculatedColumnFormula>
    </tableColumn>
    <tableColumn id="27" xr3:uid="{7EBEA9EB-8754-4BA2-AD76-74EF0FBDA376}" name="IS1_Inv2_M2" dataDxfId="378">
      <calculatedColumnFormula>VLOOKUP(Inv_Sy[[#This Row],[Date]],RD[#All],V$1,0)/V$2</calculatedColumnFormula>
    </tableColumn>
    <tableColumn id="28" xr3:uid="{4AB581EB-D217-420F-81B3-C888E83AAEFC}" name="IS1_Inv2_M3" dataDxfId="377">
      <calculatedColumnFormula>VLOOKUP(Inv_Sy[[#This Row],[Date]],RD[#All],W$1,0)/W$2</calculatedColumnFormula>
    </tableColumn>
    <tableColumn id="29" xr3:uid="{58F3C35E-8B06-49C4-A9F9-774BBB9227E5}" name="IS1_Inv2_M4" dataDxfId="376">
      <calculatedColumnFormula>VLOOKUP(Inv_Sy[[#This Row],[Date]],RD[#All],X$1,0)/X$2</calculatedColumnFormula>
    </tableColumn>
    <tableColumn id="30" xr3:uid="{BDEE44F7-4549-4631-8759-83C7A64C1159}" name="IS2_Inv1" dataDxfId="375">
      <calculatedColumnFormula>VLOOKUP(Inv_Sy[[#This Row],[Date]],RD[#All],Y$1,0)/Y$2</calculatedColumnFormula>
    </tableColumn>
    <tableColumn id="31" xr3:uid="{75E0D4C0-42B0-420A-B2BF-BB0AD0C94AC3}" name="IS1_Inv2" dataDxfId="374">
      <calculatedColumnFormula>VLOOKUP(Inv_Sy[[#This Row],[Date]],RD[#All],Z$1,0)/Z$2</calculatedColumnFormula>
    </tableColumn>
    <tableColumn id="16" xr3:uid="{00000000-0010-0000-0200-000010000000}" name="Avg. SY New" dataDxfId="373">
      <calculatedColumnFormula>IFERROR(AVERAGEIF(Q4:Z4,"&gt;"&amp;0,Q4:Z4),"")</calculatedColumnFormula>
    </tableColumn>
    <tableColumn id="17" xr3:uid="{00000000-0010-0000-0200-000011000000}" name="Max. SY" dataDxfId="372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71" dataDxfId="369" headerRowBorderDxfId="370" tableBorderDxfId="368" totalsRowBorderDxfId="367">
  <autoFilter ref="A2:AD8" xr:uid="{00000000-000C-0000-FFFF-FFFF08000000}"/>
  <tableColumns count="30">
    <tableColumn id="1" xr3:uid="{00000000-0010-0000-0800-000001000000}" name="Sr. No." dataDxfId="366"/>
    <tableColumn id="8" xr3:uid="{00000000-0010-0000-0800-000008000000}" name="Date" dataDxfId="365"/>
    <tableColumn id="2" xr3:uid="{00000000-0010-0000-0800-000002000000}" name="Finacial Year" dataDxfId="364"/>
    <tableColumn id="3" xr3:uid="{00000000-0010-0000-0800-000003000000}" name="Calendor Year" dataDxfId="363"/>
    <tableColumn id="4" xr3:uid="{00000000-0010-0000-0800-000004000000}" name="Contrcatual Year" dataDxfId="362"/>
    <tableColumn id="5" xr3:uid="{00000000-0010-0000-0800-000005000000}" name="Operating Year" dataDxfId="361"/>
    <tableColumn id="6" xr3:uid="{00000000-0010-0000-0800-000006000000}" name="Month Year" dataDxfId="360">
      <calculatedColumnFormula>TEXT(GA[[#This Row],[Date]],"mmm-yy")</calculatedColumnFormula>
    </tableColumn>
    <tableColumn id="7" xr3:uid="{00000000-0010-0000-0800-000007000000}" name="Days" dataDxfId="359">
      <calculatedColumnFormula>DAY(EOMONTH(GA[[#This Row],[Month Year]],0))</calculatedColumnFormula>
    </tableColumn>
    <tableColumn id="26" xr3:uid="{00000000-0010-0000-0800-00001A000000}" name="Sunrise Time (POA&gt;20 W/m2)" dataDxfId="358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7">
      <calculatedColumnFormula>_xlfn.XLOOKUP(GA[[#This Row],[Date]],RD[Date],RD[Sunset Time (POA&lt;20 W/m2)],0)</calculatedColumnFormula>
    </tableColumn>
    <tableColumn id="28" xr3:uid="{00000000-0010-0000-0800-00001C000000}" name="Total Generation Time" dataDxfId="356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5"/>
    <tableColumn id="10" xr3:uid="{00000000-0010-0000-0800-00000A000000}" name="DC Capacity Affceted (kW)" dataDxfId="354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3"/>
    <tableColumn id="12" xr3:uid="{00000000-0010-0000-0800-00000C000000}" name="Fault Catergory" dataDxfId="352"/>
    <tableColumn id="30" xr3:uid="{00000000-0010-0000-0800-00001E000000}" name="Plant Equivalent Weightage" dataDxfId="351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50"/>
    <tableColumn id="14" xr3:uid="{00000000-0010-0000-0800-00000E000000}" name="Breakdown Description" dataDxfId="349"/>
    <tableColumn id="15" xr3:uid="{00000000-0010-0000-0800-00000F000000}" name="Fault Time" dataDxfId="348"/>
    <tableColumn id="16" xr3:uid="{00000000-0010-0000-0800-000010000000}" name="Acknowledgemnet Time " dataDxfId="347"/>
    <tableColumn id="17" xr3:uid="{00000000-0010-0000-0800-000011000000}" name="Work Start time on Fault" dataDxfId="346"/>
    <tableColumn id="18" xr3:uid="{00000000-0010-0000-0800-000012000000}" name="Work Completiuon time on fualt" dataDxfId="345"/>
    <tableColumn id="19" xr3:uid="{00000000-0010-0000-0800-000013000000}" name="Acknowdlegemnet time " dataDxfId="344"/>
    <tableColumn id="20" xr3:uid="{00000000-0010-0000-0800-000014000000}" name="Response Time" dataDxfId="343"/>
    <tableColumn id="21" xr3:uid="{00000000-0010-0000-0800-000015000000}" name="Resolution Time" dataDxfId="342">
      <calculatedColumnFormula>(GA[[#This Row],[Work Completiuon time on fualt]]-GA[[#This Row],[Fault Time]])*24</calculatedColumnFormula>
    </tableColumn>
    <tableColumn id="22" xr3:uid="{00000000-0010-0000-0800-000016000000}" name="Action taken" dataDxfId="341"/>
    <tableColumn id="23" xr3:uid="{00000000-0010-0000-0800-000017000000}" name="Status" dataDxfId="340"/>
    <tableColumn id="29" xr3:uid="{00000000-0010-0000-0800-00001D000000}" name="Plant Equivalent breakdown" dataDxfId="339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8">
      <calculatedColumnFormula>5208.07/60000</calculatedColumnFormula>
    </tableColumn>
    <tableColumn id="24" xr3:uid="{00000000-0010-0000-0800-000018000000}" name="Approxuimate Energy Loss (KWh)" dataDxfId="337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6" dataDxfId="334" headerRowBorderDxfId="335" tableBorderDxfId="333" totalsRowBorderDxfId="332">
  <tableColumns count="42">
    <tableColumn id="1" xr3:uid="{EC5B5718-7B01-4045-A6AA-C35ED3DE200B}" name="Sr. No." dataDxfId="331"/>
    <tableColumn id="2" xr3:uid="{31EF7087-B27B-48C4-9770-8848EA02C6E8}" name="Month Name" dataDxfId="330"/>
    <tableColumn id="3" xr3:uid="{BA614B16-5032-431A-9EBE-821E8046014E}" name="Month Number" dataDxfId="329"/>
    <tableColumn id="4" xr3:uid="{7332CF9A-E25F-42A3-A242-9AB9F745BCE4}" name="Month" dataDxfId="328"/>
    <tableColumn id="5" xr3:uid="{45918747-3FCC-4824-929D-0A195DCD36A3}" name="CY" dataDxfId="327">
      <calculatedColumnFormula>YEAR(D2)</calculatedColumnFormula>
    </tableColumn>
    <tableColumn id="6" xr3:uid="{FD7F684F-D9CD-467B-B16B-D55FD519FA08}" name="FY" dataDxfId="326"/>
    <tableColumn id="7" xr3:uid="{2A8E3070-261F-4EB4-ABAC-8A0F8529647C}" name="No. of Days in Month" dataDxfId="325">
      <calculatedColumnFormula>DAY(EOMONTH(D2,0))</calculatedColumnFormula>
    </tableColumn>
    <tableColumn id="8" xr3:uid="{937FF065-29B4-490E-BD80-9E616E6AB92B}" name="GHI" dataDxfId="324"/>
    <tableColumn id="9" xr3:uid="{544CD010-CEA2-4BF9-B6D2-B423E2F100D7}" name="POA" dataDxfId="323"/>
    <tableColumn id="10" xr3:uid="{EAF7CB94-E97E-4F45-A994-7AB49FEBE1E0}" name="WS" dataDxfId="322"/>
    <tableColumn id="11" xr3:uid="{F6D4A2EC-ED62-43F6-A605-DC9A87BBA50D}" name="Tamb" dataDxfId="321"/>
    <tableColumn id="12" xr3:uid="{2346B11C-C190-4577-B8CF-37F2EBBE8F6C}" name="Tmod" dataDxfId="320"/>
    <tableColumn id="13" xr3:uid="{1EA598CD-E7F3-47EF-9BC9-C93C490FF1CF}" name="Egrid (MWh)" dataDxfId="319"/>
    <tableColumn id="14" xr3:uid="{75350688-8D9A-4BDD-8AE9-131AECAB494D}" name="Bugt_Capacity" dataDxfId="318"/>
    <tableColumn id="15" xr3:uid="{0EE5F242-E538-4111-B034-AE51FDB0A80D}" name="PR" dataDxfId="317">
      <calculatedColumnFormula>IFERROR(M2/I2/N2,"")</calculatedColumnFormula>
    </tableColumn>
    <tableColumn id="16" xr3:uid="{B68E78D0-04B2-4F61-B9C3-7803E20CB861}" name="Daily POA" dataDxfId="316">
      <calculatedColumnFormula>IFERROR(I2/G2,"")</calculatedColumnFormula>
    </tableColumn>
    <tableColumn id="17" xr3:uid="{DA06CB3A-ADF0-4BDE-AC6E-BF3C6D25AB64}" name="Days Operated" dataDxfId="315">
      <calculatedColumnFormula>COUNTIFS('Daily KPI'!$D:$D,D2,'Daily KPI'!$I:$I,"&gt;0")</calculatedColumnFormula>
    </tableColumn>
    <tableColumn id="18" xr3:uid="{1D5F4DD8-6105-43A8-BE24-C38BFDAF1AE2}" name="MTD POA" dataDxfId="314">
      <calculatedColumnFormula>I2/G2*Q2</calculatedColumnFormula>
    </tableColumn>
    <tableColumn id="27" xr3:uid="{3DD36391-6CBE-4023-ABB9-DC7B5374387C}" name="YTD POA" dataDxfId="313">
      <calculatedColumnFormula>SUMIF($F$2:F2,F2,$R$2:R2)</calculatedColumnFormula>
    </tableColumn>
    <tableColumn id="19" xr3:uid="{7E73296D-A802-4116-96A2-BD5E3268DBD7}" name="Daily Energy (MWh)" dataDxfId="312">
      <calculatedColumnFormula>M2/G2</calculatedColumnFormula>
    </tableColumn>
    <tableColumn id="20" xr3:uid="{99545A3D-BC6A-47F1-B87E-CEE9348A000F}" name="MTD Energy (MWh)" dataDxfId="311">
      <calculatedColumnFormula>M2/G2*Q2</calculatedColumnFormula>
    </tableColumn>
    <tableColumn id="28" xr3:uid="{782BD024-DE0B-4477-BC7C-60CC5B0FBE2F}" name="YTD Energy (MWh)" dataDxfId="310">
      <calculatedColumnFormula>SUMIF($F$2:F2,F2,$U$2:U2)</calculatedColumnFormula>
    </tableColumn>
    <tableColumn id="38" xr3:uid="{8BBA1C2B-1AFE-46DE-AA32-1DBA8F15FFA1}" name="Bugt CUF (%)" dataDxfId="309" dataCellStyle="Percent">
      <calculatedColumnFormula>IFERROR(T2/(24*N2),"")</calculatedColumnFormula>
    </tableColumn>
    <tableColumn id="37" xr3:uid="{39148318-A12C-4D09-A1F5-0C5ABC8AFF85}" name="Bugt CUF (%) MTD" dataDxfId="308" dataCellStyle="Percent">
      <calculatedColumnFormula>IFERROR(U2/(24*N2*Q2),"")</calculatedColumnFormula>
    </tableColumn>
    <tableColumn id="36" xr3:uid="{22C342AE-5D72-48BE-99C6-315306CD597E}" name="Bugt CUF (%)YTD" dataDxfId="307" dataCellStyle="Percent">
      <calculatedColumnFormula>IFERROR(V2/(24*N2*SUMIFS($Q:$Q,$F:$F,$F2,$D:$D,"&lt;="&amp;D2)),"")</calculatedColumnFormula>
    </tableColumn>
    <tableColumn id="21" xr3:uid="{82015399-0A73-494C-B400-DDB1DC4C9555}" name="Ave. Cap MTD" dataDxfId="306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5">
      <calculatedColumnFormula>IFERROR(AVERAGEIF($F$2:F2,F2,$N$2:N2),"")</calculatedColumnFormula>
    </tableColumn>
    <tableColumn id="22" xr3:uid="{09C92246-2F2C-4EB0-9161-CB27A47ED760}" name="CC Energy MTD" dataDxfId="304"/>
    <tableColumn id="31" xr3:uid="{3B1D23D6-88AB-46D1-936A-A1A653BA60B1}" name="WS MTD" dataDxfId="303"/>
    <tableColumn id="23" xr3:uid="{69E49E17-3DC1-41DF-B1F4-208DB21CCD3F}" name="WS YTD" dataDxfId="302"/>
    <tableColumn id="24" xr3:uid="{DB036228-9AA5-4BDA-BB3C-8290EC21E46A}" name="Bugt PA" dataDxfId="301"/>
    <tableColumn id="25" xr3:uid="{5B97F361-9B23-49F2-BCE2-236B9C333E57}" name="Bugt EGA" dataDxfId="300"/>
    <tableColumn id="35" xr3:uid="{4EAE26B6-1069-41CF-8A5E-E593C01A345C}" name="Bugt TA" dataDxfId="299" dataCellStyle="Percent"/>
    <tableColumn id="26" xr3:uid="{4DD64B1E-8F4F-4DB4-8906-3D31D52ECC37}" name="Bugt MA" dataDxfId="298" dataCellStyle="Percent"/>
    <tableColumn id="30" xr3:uid="{4EADA98C-F326-40BA-8A12-80D3009511FA}" name="Bugt IGA" dataDxfId="297" dataCellStyle="Percent"/>
    <tableColumn id="32" xr3:uid="{FC57DBD3-E166-4B57-ADB9-A9847E7CCCE8}" name="Corelation" dataDxfId="296" dataCellStyle="Percent"/>
    <tableColumn id="33" xr3:uid="{CFB90692-1444-43A2-B178-345F5EE35BA2}" name="Bugt Line loss" dataDxfId="295" dataCellStyle="Percent"/>
    <tableColumn id="34" xr3:uid="{CA3DD64A-9E12-47A3-A316-4E1D153F241F}" name="Bugt Reactive Power" dataDxfId="294" dataCellStyle="Percent"/>
    <tableColumn id="40" xr3:uid="{CF370385-C25A-4C92-830F-83F80CEC24A7}" name="CC*Bugt (MTD)" dataDxfId="293" dataCellStyle="Percent"/>
    <tableColumn id="41" xr3:uid="{9FE1E158-1120-45D8-9E27-0EE2BA61E72F}" name="CC*Bugt (YTD)" dataDxfId="292" dataCellStyle="Percent"/>
    <tableColumn id="39" xr3:uid="{44064D6F-2590-428C-B0F0-57A3B6692427}" name="E Grid PSEGPL" dataDxfId="291"/>
    <tableColumn id="42" xr3:uid="{5E0E6B6A-60F6-40C5-B7D4-D367851DDAD3}" name="E Grid PSEGPL2" dataDxfId="290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9" headerRowBorderDxfId="288" tableBorderDxfId="287">
  <tableColumns count="22">
    <tableColumn id="1" xr3:uid="{00000000-0010-0000-0300-000001000000}" name="Date" totalsRowFunction="custom" dataDxfId="286" totalsRowDxfId="285">
      <totalsRowFormula>A383+1</totalsRowFormula>
    </tableColumn>
    <tableColumn id="2" xr3:uid="{00000000-0010-0000-0300-000002000000}" name="Start Month" dataDxfId="284" totalsRowDxfId="283">
      <calculatedColumnFormula>MONTH(Modelling_old[[#This Row],[Date]])</calculatedColumnFormula>
    </tableColumn>
    <tableColumn id="3" xr3:uid="{00000000-0010-0000-0300-000003000000}" name="Finacial Year" dataDxfId="282" totalsRowDxfId="281">
      <calculatedColumnFormula>YEAR(A18)+(MONTH(A18)&gt;=B18)</calculatedColumnFormula>
    </tableColumn>
    <tableColumn id="4" xr3:uid="{00000000-0010-0000-0300-000004000000}" name="Calendor Year" dataDxfId="280" totalsRowDxfId="279">
      <calculatedColumnFormula>YEAR(A18)</calculatedColumnFormula>
    </tableColumn>
    <tableColumn id="5" xr3:uid="{00000000-0010-0000-0300-000005000000}" name="Contrcatual Year" dataDxfId="278" totalsRowDxfId="277"/>
    <tableColumn id="6" xr3:uid="{00000000-0010-0000-0300-000006000000}" name="Operating Year" dataDxfId="276" totalsRowDxfId="275"/>
    <tableColumn id="7" xr3:uid="{00000000-0010-0000-0300-000007000000}" name="Month Year" dataDxfId="274" totalsRowDxfId="273"/>
    <tableColumn id="8" xr3:uid="{00000000-0010-0000-0300-000008000000}" name="Total Days" dataDxfId="272" totalsRowDxfId="271">
      <calculatedColumnFormula>DAY(EOMONTH(G18,0))</calculatedColumnFormula>
    </tableColumn>
    <tableColumn id="9" xr3:uid="{00000000-0010-0000-0300-000009000000}" name="Month" dataDxfId="270" totalsRowDxfId="269">
      <calculatedColumnFormula>MONTH(A18)</calculatedColumnFormula>
    </tableColumn>
    <tableColumn id="10" xr3:uid="{00000000-0010-0000-0300-00000A000000}" name="Target E_Grid daily_x000a_MWh" dataDxfId="268" totalsRowDxfId="267">
      <calculatedColumnFormula>VLOOKUP(I18,$C$2:$L$13,10,0)/H18</calculatedColumnFormula>
    </tableColumn>
    <tableColumn id="11" xr3:uid="{00000000-0010-0000-0300-00000B000000}" name="Target E_Grid MTD_x000a_MWh" dataDxfId="266" totalsRowDxfId="265"/>
    <tableColumn id="12" xr3:uid="{00000000-0010-0000-0300-00000C000000}" name="Target E_Grid YTD_x000a_MWh" dataDxfId="264" totalsRowDxfId="263"/>
    <tableColumn id="13" xr3:uid="{00000000-0010-0000-0300-00000D000000}" name="Target POA Daily (KWh/m2)" dataDxfId="262" totalsRowDxfId="261">
      <calculatedColumnFormula>VLOOKUP(I18,$C$2:$M$13,11,0)</calculatedColumnFormula>
    </tableColumn>
    <tableColumn id="14" xr3:uid="{00000000-0010-0000-0300-00000E000000}" name="Target POA MTD (KWh/m2)" dataDxfId="260" totalsRowDxfId="259"/>
    <tableColumn id="15" xr3:uid="{00000000-0010-0000-0300-00000F000000}" name="Tareget POA YTD (KWh/m2)" dataDxfId="258" totalsRowDxfId="257"/>
    <tableColumn id="16" xr3:uid="{00000000-0010-0000-0300-000010000000}" name="Target PR Daily (%)" dataDxfId="256" totalsRowDxfId="255">
      <calculatedColumnFormula>J18/$Q$1/M18</calculatedColumnFormula>
    </tableColumn>
    <tableColumn id="17" xr3:uid="{00000000-0010-0000-0300-000011000000}" name="Target PR MTD (%)" dataDxfId="254" totalsRowDxfId="253">
      <calculatedColumnFormula>K18/N18/$Q$1</calculatedColumnFormula>
    </tableColumn>
    <tableColumn id="18" xr3:uid="{00000000-0010-0000-0300-000012000000}" name="Target PR YTD (%)" dataDxfId="252" totalsRowDxfId="251">
      <calculatedColumnFormula>L18/O18/$Q$1</calculatedColumnFormula>
    </tableColumn>
    <tableColumn id="19" xr3:uid="{00000000-0010-0000-0300-000013000000}" name="Target CUF Daily (%)" dataDxfId="250" totalsRowDxfId="249">
      <calculatedColumnFormula>J18/(24*$Q$1)</calculatedColumnFormula>
    </tableColumn>
    <tableColumn id="20" xr3:uid="{00000000-0010-0000-0300-000014000000}" name="Target CUF MTD (%)" dataDxfId="248" totalsRowDxfId="247"/>
    <tableColumn id="21" xr3:uid="{00000000-0010-0000-0300-000015000000}" name="Target CUF YTD (%)" dataDxfId="246" totalsRowDxfId="245">
      <calculatedColumnFormula>L18/((COUNT($L$18:L18))*24*$Q$1)</calculatedColumnFormula>
    </tableColumn>
    <tableColumn id="22" xr3:uid="{F08BDE8B-51B1-4600-860A-50A4A622F909}" name="DC Capcity" dataDxfId="244" totalsRowDxfId="243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42" headerRowBorderDxfId="241" tableBorderDxfId="240">
  <tableColumns count="25">
    <tableColumn id="1" xr3:uid="{4556EFA0-FF32-4A21-89E3-29DB7EAC73EB}" name="Date" dataDxfId="239"/>
    <tableColumn id="2" xr3:uid="{BEE5F4E2-1EB0-4129-9C97-6BF50EFB3FB5}" name="Start Month" dataDxfId="238">
      <calculatedColumnFormula>MONTH(Modelling_new[[#This Row],[Date]])</calculatedColumnFormula>
    </tableColumn>
    <tableColumn id="3" xr3:uid="{1235DF36-18D8-4E3A-B16A-CFC268B4C056}" name="Finacial Year" dataDxfId="237">
      <calculatedColumnFormula>YEAR(Y18)+IF(MONTH(Modelling_new[[#This Row],[Date]])&gt;=4,1,0)</calculatedColumnFormula>
    </tableColumn>
    <tableColumn id="4" xr3:uid="{4DF5395E-232E-4EBA-BEA1-54D168D4794F}" name="Calendor Year" dataDxfId="236">
      <calculatedColumnFormula>YEAR(Y18)</calculatedColumnFormula>
    </tableColumn>
    <tableColumn id="5" xr3:uid="{847FBB60-BB44-4D70-86C9-DD04CF12AC0A}" name="Contrcatual Year" dataDxfId="235"/>
    <tableColumn id="6" xr3:uid="{22074E94-EDF1-421F-A5BB-49B0D51AD136}" name="Operating Year" dataDxfId="234"/>
    <tableColumn id="7" xr3:uid="{C59FB8BB-0D35-4998-9E82-0004E497F3D1}" name="Month Year" dataDxfId="233"/>
    <tableColumn id="8" xr3:uid="{BF986D41-67DA-4FA0-97A0-85552C277B58}" name="Total Days" dataDxfId="232">
      <calculatedColumnFormula>DAY(EOMONTH(AE18,0))</calculatedColumnFormula>
    </tableColumn>
    <tableColumn id="9" xr3:uid="{5DAAD46E-4F6E-49C1-BB13-363F75E67325}" name="Month" dataDxfId="231">
      <calculatedColumnFormula>MONTH(Y18)</calculatedColumnFormula>
    </tableColumn>
    <tableColumn id="10" xr3:uid="{AAB86F05-46E9-4FF5-A081-57830863EEE1}" name="Target E_Grid daily_x000a_MWh" dataDxfId="230">
      <calculatedColumnFormula>VLOOKUP(AG18,$C$2:$L$13,10,0)/AF18</calculatedColumnFormula>
    </tableColumn>
    <tableColumn id="11" xr3:uid="{9E4C0A10-DD6A-47DB-AEBE-815FB53312B4}" name="Target E_Grid MTD_x000a_MWh" dataDxfId="229"/>
    <tableColumn id="12" xr3:uid="{FDA23885-7B02-4803-B60A-5F6BFCC4B680}" name="Target E_Grid YTD_x000a_MWh" dataDxfId="228"/>
    <tableColumn id="13" xr3:uid="{0CD99726-A0A8-4B3C-BC26-E331041CE907}" name="Target POA Daily (KWh/m2)" dataDxfId="227">
      <calculatedColumnFormula>VLOOKUP(AG18,$C$2:$M$13,11,0)</calculatedColumnFormula>
    </tableColumn>
    <tableColumn id="14" xr3:uid="{A31C3D57-D3F9-4774-A061-74B38CDD1170}" name="Target POA MTD (KWh/m2)" dataDxfId="226"/>
    <tableColumn id="15" xr3:uid="{421E07E1-DE5C-4D7A-860A-8686B40B0AD8}" name="Tareget POA YTD (KWh/m2)" dataDxfId="225"/>
    <tableColumn id="16" xr3:uid="{3A29ABCE-5519-4C4C-B862-1A60EE4FF092}" name="Target PR Daily (%)" dataDxfId="224">
      <calculatedColumnFormula>AH18/$Q$1/AK18</calculatedColumnFormula>
    </tableColumn>
    <tableColumn id="17" xr3:uid="{BA4DB9E0-CAFA-43B5-A340-A3FB9437B931}" name="Target PR MTD (%)" dataDxfId="223">
      <calculatedColumnFormula>AI18/AL18/$Q$1</calculatedColumnFormula>
    </tableColumn>
    <tableColumn id="18" xr3:uid="{9AB117BE-37EA-47EB-A3E7-196D9A85239D}" name="Target PR YTD (%)" dataDxfId="222">
      <calculatedColumnFormula>AJ18/AM18/$Q$1</calculatedColumnFormula>
    </tableColumn>
    <tableColumn id="19" xr3:uid="{F7FFCB3B-B818-4653-B0F4-28BDCA6026C6}" name="Target CUF Daily (%)" dataDxfId="221">
      <calculatedColumnFormula>AH18/(24*$Q$1)</calculatedColumnFormula>
    </tableColumn>
    <tableColumn id="20" xr3:uid="{FF2899C7-2BA0-4303-B422-64EA996FC4E9}" name="Target CUF MTD (%)" dataDxfId="220"/>
    <tableColumn id="21" xr3:uid="{3DDF0E5C-31D7-4F88-BDEB-36BAAA173F45}" name="Target CUF YTD (%)" dataDxfId="219">
      <calculatedColumnFormula>AJ18/((COUNT($L$18:AJ18))*24*$Q$1)</calculatedColumnFormula>
    </tableColumn>
    <tableColumn id="22" xr3:uid="{634F35D5-27D7-48E2-BC1A-C6DE3FD57A9F}" name="Comisined DC " dataDxfId="218"/>
    <tableColumn id="23" xr3:uid="{35220CB1-86D1-49DF-89D1-8D34E06AAE7D}" name="Factor" dataDxfId="217"/>
    <tableColumn id="24" xr3:uid="{A3C3C395-E0A8-4062-9F32-B642957E7908}" name="MTD DC Capcity" dataDxfId="216"/>
    <tableColumn id="25" xr3:uid="{F0B13FFD-FE46-4DCE-89DD-63248C581B5D}" name="YTD DC Capcity" dataDxfId="215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4" headerRowBorderDxfId="213" tableBorderDxfId="212">
  <tableColumns count="25">
    <tableColumn id="1" xr3:uid="{55D8E743-7A6C-468B-A6C7-DC879FE41CE3}" name="Date" dataDxfId="211"/>
    <tableColumn id="2" xr3:uid="{5946BBE5-97AC-421D-BF17-46F38B6A2843}" name="Start Month" dataDxfId="210">
      <calculatedColumnFormula>MONTH(Modelling[[#This Row],[Date]])</calculatedColumnFormula>
    </tableColumn>
    <tableColumn id="3" xr3:uid="{8AF01218-8248-4D66-A297-8138B1AC51F5}" name="Finacial Year" dataDxfId="209">
      <calculatedColumnFormula>YEAR(BD18)+IF(MONTH(Modelling[[#This Row],[Date]])&gt;=4,1,0)</calculatedColumnFormula>
    </tableColumn>
    <tableColumn id="4" xr3:uid="{F8172837-B80A-4771-ADD4-B8B66FDEFC18}" name="Calendor Year" dataDxfId="208">
      <calculatedColumnFormula>YEAR(BD18)</calculatedColumnFormula>
    </tableColumn>
    <tableColumn id="5" xr3:uid="{E8BC47A0-B725-484B-A4CA-87618E0CC663}" name="Contrcatual Year" dataDxfId="207"/>
    <tableColumn id="6" xr3:uid="{CFB9C354-09BD-45DA-9C70-6DDBC6D90E72}" name="Operating Year" dataDxfId="206"/>
    <tableColumn id="7" xr3:uid="{A2BD469B-61C3-4EDF-B095-8721CCD283FC}" name="Month Year" dataDxfId="205"/>
    <tableColumn id="8" xr3:uid="{F436A09C-173C-49CE-A0D9-34419B0266C6}" name="Total Days" dataDxfId="204">
      <calculatedColumnFormula>DAY(EOMONTH(BJ18,0))</calculatedColumnFormula>
    </tableColumn>
    <tableColumn id="9" xr3:uid="{01200C15-122A-47FC-9BD6-A8E3E44DDCCB}" name="Month" dataDxfId="203">
      <calculatedColumnFormula>MONTH(BD18)</calculatedColumnFormula>
    </tableColumn>
    <tableColumn id="10" xr3:uid="{BD502281-0856-4EAE-9F7F-E84A3B1538AB}" name="Target E_Grid daily_x000a_MWh" dataDxfId="202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201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200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9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8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7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6">
      <calculatedColumnFormula>BM18/Modelling[[#This Row],[Comisined DC ]]/BP18</calculatedColumnFormula>
    </tableColumn>
    <tableColumn id="17" xr3:uid="{9730B997-E25C-4312-A293-F4C8051A9BB2}" name="Target PR MTD (%)" dataDxfId="195">
      <calculatedColumnFormula>BN18/BQ18/Modelling[[#This Row],[Comisined DC ]]</calculatedColumnFormula>
    </tableColumn>
    <tableColumn id="18" xr3:uid="{2671FB9E-259C-4678-B714-11B8DAB5DD7E}" name="Target PR YTD (%)" dataDxfId="194">
      <calculatedColumnFormula>BO18/BR18/Modelling[[#This Row],[Comisined DC ]]</calculatedColumnFormula>
    </tableColumn>
    <tableColumn id="19" xr3:uid="{11E867F4-AA9F-4CFF-B650-A6410823962D}" name="Target CUF Daily (%)" dataDxfId="193">
      <calculatedColumnFormula>BM18/(24*Modelling[[#This Row],[Comisined DC ]])</calculatedColumnFormula>
    </tableColumn>
    <tableColumn id="20" xr3:uid="{E384F781-3F33-4EE4-9A65-7FBD63BACAA0}" name="Target CUF MTD (%)" dataDxfId="192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91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90" headerRowBorderDxfId="189" tableBorderDxfId="188" totalsRowBorderDxfId="187">
  <tableColumns count="70">
    <tableColumn id="7" xr3:uid="{00000000-0010-0000-0100-000007000000}" name="Date" dataDxfId="186"/>
    <tableColumn id="1" xr3:uid="{00000000-0010-0000-0100-000001000000}" name="Finacial Year" dataDxfId="185"/>
    <tableColumn id="2" xr3:uid="{00000000-0010-0000-0100-000002000000}" name="Calendor Year" dataDxfId="184"/>
    <tableColumn id="3" xr3:uid="{00000000-0010-0000-0100-000003000000}" name="Contrcatual Year" dataDxfId="183"/>
    <tableColumn id="4" xr3:uid="{00000000-0010-0000-0100-000004000000}" name="Operating Year" dataDxfId="182"/>
    <tableColumn id="5" xr3:uid="{00000000-0010-0000-0100-000005000000}" name="Month Year" dataDxfId="181">
      <calculatedColumnFormula>TEXT(A4,"mmm-yy")</calculatedColumnFormula>
    </tableColumn>
    <tableColumn id="6" xr3:uid="{00000000-0010-0000-0100-000006000000}" name="Days" dataDxfId="180">
      <calculatedColumnFormula>DAY(EOMONTH(RD[[#This Row],[Month Year]],0))</calculatedColumnFormula>
    </tableColumn>
    <tableColumn id="8" xr3:uid="{00000000-0010-0000-0100-000008000000}" name="Plant DC Capcity (MW)" dataDxfId="179">
      <calculatedColumnFormula>Modelling!$Q$1</calculatedColumnFormula>
    </tableColumn>
    <tableColumn id="9" xr3:uid="{00000000-0010-0000-0100-000009000000}" name="Sunrise Time (POA&gt;20 W/m2)" dataDxfId="178"/>
    <tableColumn id="10" xr3:uid="{00000000-0010-0000-0100-00000A000000}" name="Sunset Time (POA&lt;20 W/m2)" dataDxfId="177"/>
    <tableColumn id="11" xr3:uid="{00000000-0010-0000-0100-00000B000000}" name="G1 Inv1" dataDxfId="176"/>
    <tableColumn id="12" xr3:uid="{00000000-0010-0000-0100-00000C000000}" name="G1 Inv2" dataDxfId="175"/>
    <tableColumn id="13" xr3:uid="{00000000-0010-0000-0100-00000D000000}" name="G2 Inv3" dataDxfId="174"/>
    <tableColumn id="14" xr3:uid="{E5B9311C-F9CB-4DDF-B993-A1DC6C78C9B1}" name="G2 Inv4" dataDxfId="173"/>
    <tableColumn id="15" xr3:uid="{2046742D-9B2E-48AF-A75F-6655B50274C0}" name="G3 Inv5" dataDxfId="172"/>
    <tableColumn id="16" xr3:uid="{F2C0FAFB-BF0B-49CB-A9EE-70CF6DCA19AD}" name="G3 Inv6" dataDxfId="171"/>
    <tableColumn id="21" xr3:uid="{838F8445-F9D7-43EF-97D5-619199979C73}" name="G4 Inv7" dataDxfId="170"/>
    <tableColumn id="22" xr3:uid="{C47EA995-4CB4-4DBF-BBC6-BEDFE041E5C9}" name="G4 Inv8" dataDxfId="169"/>
    <tableColumn id="23" xr3:uid="{CEE011DD-1A00-492F-8C72-8FE4D131DBAA}" name="G5 Inv9" dataDxfId="168"/>
    <tableColumn id="24" xr3:uid="{1DD9D605-2E71-4A45-A1D0-59A6C199D1C0}" name="G5 Inv10" dataDxfId="167"/>
    <tableColumn id="31" xr3:uid="{38C9ED46-A6FF-48A3-AFCF-6B1E1590ED87}" name="IS1_Inv1_M1" dataDxfId="166"/>
    <tableColumn id="32" xr3:uid="{4109BEFD-9BD9-4D67-9A61-3554A20FCF18}" name="IS1_Inv1_M2" dataDxfId="165"/>
    <tableColumn id="33" xr3:uid="{1168756B-69F3-44D9-A2A3-07868D81DD40}" name="IS1_Inv1_M3" dataDxfId="164"/>
    <tableColumn id="34" xr3:uid="{3F30554B-1F06-4670-B4B9-7158D595005F}" name="IS1_Inv1_M4" dataDxfId="163"/>
    <tableColumn id="40" xr3:uid="{94581593-3D10-4785-8016-29D2EEB62DA2}" name="IS1_Inv2_M1" dataDxfId="162"/>
    <tableColumn id="41" xr3:uid="{5A110FA6-02DB-4BA1-9E96-E92D4929A5D8}" name="IS1_Inv2_M2" dataDxfId="161"/>
    <tableColumn id="42" xr3:uid="{80805792-7CC9-4581-A1F1-2286735C29D2}" name="IS1_Inv2_M3" dataDxfId="160"/>
    <tableColumn id="43" xr3:uid="{E1C5279C-506A-4042-9DD1-2FFD9B56D2A1}" name="IS1_Inv2_M4" dataDxfId="159"/>
    <tableColumn id="44" xr3:uid="{D92147E6-9878-44C1-BEBD-45F6BA1005F6}" name="IS2_Inv1" dataDxfId="158"/>
    <tableColumn id="45" xr3:uid="{D110B235-41F9-43CE-A070-C629E0A9AB91}" name="IS2_Inv2" dataDxfId="157"/>
    <tableColumn id="46" xr3:uid="{55A54256-2DB9-4ED3-8D40-3807668F8561}" name="PSEGPL_HCCB_33KV_Export Reading" dataDxfId="156"/>
    <tableColumn id="47" xr3:uid="{9011CF92-8B92-48D1-9816-7DEC6FEB1208}" name="PSEGPL_HCCB_33KV_Import Reading" dataDxfId="155"/>
    <tableColumn id="48" xr3:uid="{8414356E-A434-4FB6-843A-D0A303C20362}" name="PSEGPL_PEPSICO_33KV_Export Reading" dataDxfId="154"/>
    <tableColumn id="49" xr3:uid="{9749C11E-7F0B-437F-AF7B-CDC494021D54}" name="PSEGPL_PEPSICO_33KV_Import Reading" dataDxfId="153"/>
    <tableColumn id="51" xr3:uid="{1B0120CD-973F-4CD8-8031-D5D651844935}" name="O2R6_33 kV _Export_Reading" dataDxfId="152"/>
    <tableColumn id="52" xr3:uid="{DABF98AD-8AE9-45BD-BD97-F8DD7F1BAEB6}" name="O2R6_33 kV _Import_Reading" dataDxfId="151"/>
    <tableColumn id="53" xr3:uid="{411D3658-4283-4DD9-B87E-B361870BFA6E}" name="O2R10_33 kV _Export_Reading" dataDxfId="150"/>
    <tableColumn id="50" xr3:uid="{43989613-2D6C-457F-B27C-EE31B5B39B33}" name="O2R10_33 kV _Import_Reading" dataDxfId="149"/>
    <tableColumn id="17" xr3:uid="{00000000-0010-0000-0100-000011000000}" name="33 kV F5 Export Reading_Gss End" dataDxfId="148"/>
    <tableColumn id="18" xr3:uid="{00000000-0010-0000-0100-000012000000}" name="33 kV F5 Import Reading_GSS End2" dataDxfId="147"/>
    <tableColumn id="19" xr3:uid="{00000000-0010-0000-0100-000013000000}" name="GHI(Wh/m2)" dataDxfId="146"/>
    <tableColumn id="20" xr3:uid="{00000000-0010-0000-0100-000014000000}" name="POA(kWh/m2)_PSEGPL" dataDxfId="145"/>
    <tableColumn id="54" xr3:uid="{A78D6279-BD62-4AFB-8BD8-EB29DF37DDBA}" name="POA(kWh/m2)_O2R6" dataDxfId="144"/>
    <tableColumn id="64" xr3:uid="{FEA8F737-825D-4BAB-9A9D-5769574138A8}" name="Average POA" dataDxfId="143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42">
      <calculatedColumnFormula>SUM(RD[[#This Row],[G1 Inv1]:[G5 Inv10]])</calculatedColumnFormula>
    </tableColumn>
    <tableColumn id="69" xr3:uid="{6085106E-31B4-4464-8280-F61D9E5FFCFA}" name="O2R6" dataDxfId="141">
      <calculatedColumnFormula>SUM(RD[[#This Row],[IS1_Inv1_M1]:[IS1_Inv2_M4]])</calculatedColumnFormula>
    </tableColumn>
    <tableColumn id="67" xr3:uid="{36170E3C-A98C-400B-9BAA-DEE24CE2E794}" name="O2R10" dataDxfId="140">
      <calculatedColumnFormula>SUM(RD[[#This Row],[IS2_Inv1]:[IS2_Inv2]])</calculatedColumnFormula>
    </tableColumn>
    <tableColumn id="25" xr3:uid="{00000000-0010-0000-0100-000019000000}" name="Avg. Ambient Temp (POA&gt;20W/m2)_O2R6" dataDxfId="139"/>
    <tableColumn id="26" xr3:uid="{00000000-0010-0000-0100-00001A000000}" name="Avg. Module Temp (POA&gt;20W/m2)_O2R6" dataDxfId="138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7"/>
    <tableColumn id="28" xr3:uid="{00000000-0010-0000-0100-00001C000000}" name="Max. Wind Speed (m/s)_O2R6" dataDxfId="136"/>
    <tableColumn id="29" xr3:uid="{00000000-0010-0000-0100-00001D000000}" name="Rain Fall (mm)_O2R6" dataDxfId="135"/>
    <tableColumn id="37" xr3:uid="{00000000-0010-0000-0100-000025000000}" name="Inverters Generation ( kWh)" dataDxfId="134">
      <calculatedColumnFormula>IFERROR(SUM(RD[[#This Row],[G1 Inv1]:[IS2_Inv2]]),"")</calculatedColumnFormula>
    </tableColumn>
    <tableColumn id="55" xr3:uid="{21D521AE-6B4C-4921-A2D6-53B9B0C976D7}" name="HCCB_Export (KWh)" dataDxfId="133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32"/>
    <tableColumn id="57" xr3:uid="{B32D3F36-17E9-4E44-859D-AA4CF8A65B97}" name="PEPSICO_Export (KWh)2" dataDxfId="131"/>
    <tableColumn id="58" xr3:uid="{00BC5EBF-38D6-4163-95B4-EE36B8275BAC}" name="PEPSICO_Import (KWh)" dataDxfId="130"/>
    <tableColumn id="61" xr3:uid="{0518E954-90DE-4AB0-9F8C-466B85A954D7}" name="O2R6_Export (KWh" dataDxfId="129"/>
    <tableColumn id="62" xr3:uid="{49FA4BC3-0E9A-4282-886A-79960C0CA429}" name="O2R6_Import (KWh)" dataDxfId="128"/>
    <tableColumn id="59" xr3:uid="{C5B3B42D-6322-4691-9908-D0E7AAA2371E}" name="O2R10_Export (KWh)" dataDxfId="127"/>
    <tableColumn id="60" xr3:uid="{9DC47D93-1ACD-4F65-9FE9-50FAE9B25238}" name="O2R10_Export (KWh)2" dataDxfId="126"/>
    <tableColumn id="30" xr3:uid="{00000000-0010-0000-0100-00001E000000}" name="Export  (kWh)" dataDxfId="125">
      <calculatedColumnFormula>(RD[[#This Row],[33 kV F5 Export Reading_Gss End]]-AM3)*1000</calculatedColumnFormula>
    </tableColumn>
    <tableColumn id="35" xr3:uid="{00000000-0010-0000-0100-000023000000}" name="Import (kWh)" dataDxfId="124">
      <calculatedColumnFormula>(RD[[#This Row],[33 kV F5 Import Reading_GSS End2]]-AN3)*1000</calculatedColumnFormula>
    </tableColumn>
    <tableColumn id="36" xr3:uid="{00000000-0010-0000-0100-000024000000}" name="Net Export (kWh)" dataDxfId="123">
      <calculatedColumnFormula>RD[[#This Row],[Export  (kWh)]]-RD[[#This Row],[Import (kWh)]]</calculatedColumnFormula>
    </tableColumn>
    <tableColumn id="63" xr3:uid="{CDDD65FF-F42E-473C-BBDD-30FA9E50F4F7}" name="Line Loss" dataDxfId="122">
      <calculatedColumnFormula>RD[[#This Row],[Inverters Generation ( kWh)]]-RD[[#This Row],[Export  (kWh)]]</calculatedColumnFormula>
    </tableColumn>
    <tableColumn id="38" xr3:uid="{3102AE17-C5A2-4373-BC53-C622BDC590D9}" name="PSEGPL1_Export" dataDxfId="121">
      <calculatedColumnFormula>(((BE4-BE3)*45)-((BD4-BD3)*45))+(((BC4-BC3)*60)-((BB4-BB3)*60))</calculatedColumnFormula>
    </tableColumn>
    <tableColumn id="39" xr3:uid="{4EB35E93-FE99-4B3B-9E1B-154F1E271BC0}" name="PSEGPL1_Import" dataDxfId="120">
      <calculatedColumnFormula>BB3-RD[[#This Row],[HCCB_Export (KWh)]]*60</calculatedColumnFormula>
    </tableColumn>
    <tableColumn id="65" xr3:uid="{AAAC0B56-AAB3-469C-B47A-C8E0BE3FC391}" name="PSEGPL2_Export" dataDxfId="119">
      <calculatedColumnFormula>IF(AND(BG4="",BI4=""),"",(((BG4-BG3)*MF_Cap_O2RE6)+((BI4-BI3)*MF_Cap_O2RE10)))</calculatedColumnFormula>
    </tableColumn>
    <tableColumn id="66" xr3:uid="{46224E64-C385-47E1-9318-128705F7E229}" name="PSEGPL2_Import" dataDxfId="118">
      <calculatedColumnFormula>IF(AND(BF4="",BH4=""),"",(((BF4-BF3)*MF_Cap_O2RE6)+((BH4-BH3)*MF_Cap_O2RE10)))</calculatedColumnFormula>
    </tableColumn>
    <tableColumn id="70" xr3:uid="{68841F97-656E-4F07-B294-5EB4464FD992}" name="Operating Hours" dataDxfId="117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6" dataDxfId="114" headerRowBorderDxfId="115" tableBorderDxfId="113" totalsRowBorderDxfId="112">
  <autoFilter ref="A3:AH243" xr:uid="{00000000-000C-0000-FFFF-FFFF06000000}"/>
  <tableColumns count="34">
    <tableColumn id="1" xr3:uid="{00000000-0010-0000-0600-000001000000}" name="Sr. No." dataDxfId="111"/>
    <tableColumn id="8" xr3:uid="{00000000-0010-0000-0600-000008000000}" name="Date" dataDxfId="110"/>
    <tableColumn id="2" xr3:uid="{00000000-0010-0000-0600-000002000000}" name="Finacial Year" dataDxfId="109"/>
    <tableColumn id="3" xr3:uid="{00000000-0010-0000-0600-000003000000}" name="Calendor Year" dataDxfId="108">
      <calculatedColumnFormula>YEAR(PA[[#This Row],[Date]])</calculatedColumnFormula>
    </tableColumn>
    <tableColumn id="4" xr3:uid="{00000000-0010-0000-0600-000004000000}" name="Contrcatual Year" dataDxfId="107"/>
    <tableColumn id="5" xr3:uid="{00000000-0010-0000-0600-000005000000}" name="Operating Year" dataDxfId="106"/>
    <tableColumn id="6" xr3:uid="{00000000-0010-0000-0600-000006000000}" name="Month Year" dataDxfId="105">
      <calculatedColumnFormula>PA[[#This Row],[Date]]-DAY(PA[[#This Row],[Date]])+1</calculatedColumnFormula>
    </tableColumn>
    <tableColumn id="7" xr3:uid="{00000000-0010-0000-0600-000007000000}" name="Days" dataDxfId="104">
      <calculatedColumnFormula>DAY(EOMONTH(PA[[#This Row],[Month Year]],0))</calculatedColumnFormula>
    </tableColumn>
    <tableColumn id="26" xr3:uid="{00000000-0010-0000-0600-00001A000000}" name="Sunrise Time (POA&gt;20 W/m2)" dataDxfId="103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2">
      <calculatedColumnFormula>_xlfn.XLOOKUP(PA[[#This Row],[Date]],RD[Date],RD[Sunset Time (POA&lt;20 W/m2)],0)</calculatedColumnFormula>
    </tableColumn>
    <tableColumn id="28" xr3:uid="{00000000-0010-0000-0600-00001C000000}" name="Total Generation Time" dataDxfId="101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100"/>
    <tableColumn id="10" xr3:uid="{00000000-0010-0000-0600-00000A000000}" name="DC Capacity Affceted (kW)" dataDxfId="99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8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7"/>
    <tableColumn id="12" xr3:uid="{00000000-0010-0000-0600-00000C000000}" name="Fault Catrgory" dataDxfId="96"/>
    <tableColumn id="13" xr3:uid="{00000000-0010-0000-0600-00000D000000}" name="Fault Code (As per HMI)" dataDxfId="95"/>
    <tableColumn id="14" xr3:uid="{00000000-0010-0000-0600-00000E000000}" name="Breakdown Description" dataDxfId="94"/>
    <tableColumn id="15" xr3:uid="{00000000-0010-0000-0600-00000F000000}" name="Fault Time" dataDxfId="93"/>
    <tableColumn id="16" xr3:uid="{00000000-0010-0000-0600-000010000000}" name="Acknowledgemnet Time " dataDxfId="92"/>
    <tableColumn id="17" xr3:uid="{00000000-0010-0000-0600-000011000000}" name="Work Start time on Fault" dataDxfId="91"/>
    <tableColumn id="18" xr3:uid="{00000000-0010-0000-0600-000012000000}" name="Work Completiuon time on fualt" dataDxfId="90"/>
    <tableColumn id="19" xr3:uid="{00000000-0010-0000-0600-000013000000}" name="Acknowdlegemnet time " dataDxfId="89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8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7">
      <calculatedColumnFormula>(PA[[#This Row],[Work Completiuon time on fualt]]-PA[[#This Row],[Fault Time]])*24</calculatedColumnFormula>
    </tableColumn>
    <tableColumn id="30" xr3:uid="{00000000-0010-0000-0600-00001E000000}" name="Breakdown Time" dataDxfId="86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5"/>
    <tableColumn id="23" xr3:uid="{00000000-0010-0000-0600-000017000000}" name="Status" dataDxfId="84"/>
    <tableColumn id="31" xr3:uid="{00000000-0010-0000-0600-00001F000000}" name="Plant Equivalent BD (Hrs)" dataDxfId="83">
      <calculatedColumnFormula>IFERROR(AA7 AA9*PA[[#This Row],[Plant Equivalent Weightage]],"")</calculatedColumnFormula>
    </tableColumn>
    <tableColumn id="25" xr3:uid="{00000000-0010-0000-0600-000019000000}" name="Lost PoA(kWh/m2)" dataDxfId="82"/>
    <tableColumn id="24" xr3:uid="{00000000-0010-0000-0600-000018000000}" name="Approxuimate Energy Loss (KWh)" dataDxfId="81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80"/>
    <tableColumn id="33" xr3:uid="{4F614E22-26A6-4B06-904A-BFB5C8F8E0DB}" name="Job Card No." dataDxfId="79"/>
    <tableColumn id="34" xr3:uid="{A9CFD4FD-5848-4ADF-8854-A5BF91673BDA}" name="Column1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>
    <filterColumn colId="8">
      <filters>
        <filter val="05 AMPs \1000 v DC Fuses"/>
      </filters>
    </filterColumn>
  </autoFilter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zoomScaleNormal="100" workbookViewId="0">
      <selection activeCell="B6" sqref="B6:F6"/>
    </sheetView>
  </sheetViews>
  <sheetFormatPr defaultColWidth="8.81640625" defaultRowHeight="14.5" x14ac:dyDescent="0.35"/>
  <cols>
    <col min="1" max="1" width="14.1796875" style="55" customWidth="1"/>
    <col min="2" max="2" width="21.81640625" style="55" customWidth="1"/>
    <col min="3" max="5" width="13.81640625" style="55" customWidth="1"/>
    <col min="6" max="6" width="29.1796875" style="55" customWidth="1"/>
    <col min="7" max="16384" width="8.81640625" style="55"/>
  </cols>
  <sheetData>
    <row r="2" spans="1:6" ht="15" thickBot="1" x14ac:dyDescent="0.4"/>
    <row r="3" spans="1:6" ht="15.5" x14ac:dyDescent="0.35">
      <c r="A3" s="344" t="s">
        <v>0</v>
      </c>
      <c r="B3" s="345"/>
      <c r="C3" s="345"/>
      <c r="D3" s="345"/>
      <c r="E3" s="345"/>
      <c r="F3" s="346"/>
    </row>
    <row r="4" spans="1:6" x14ac:dyDescent="0.35">
      <c r="A4" s="103" t="s">
        <v>1</v>
      </c>
      <c r="B4" s="347">
        <v>45839</v>
      </c>
      <c r="C4" s="347"/>
      <c r="D4" s="347"/>
      <c r="E4" s="347"/>
      <c r="F4" s="348"/>
    </row>
    <row r="5" spans="1:6" x14ac:dyDescent="0.35">
      <c r="A5" s="103" t="s">
        <v>2</v>
      </c>
      <c r="B5" s="349">
        <v>45869</v>
      </c>
      <c r="C5" s="349"/>
      <c r="D5" s="349"/>
      <c r="E5" s="349"/>
      <c r="F5" s="350"/>
    </row>
    <row r="6" spans="1:6" x14ac:dyDescent="0.35">
      <c r="A6" s="103" t="s">
        <v>3</v>
      </c>
      <c r="B6" s="351" t="s">
        <v>4</v>
      </c>
      <c r="C6" s="351"/>
      <c r="D6" s="351"/>
      <c r="E6" s="351"/>
      <c r="F6" s="352"/>
    </row>
    <row r="7" spans="1:6" x14ac:dyDescent="0.35">
      <c r="A7" s="103" t="s">
        <v>5</v>
      </c>
      <c r="B7" s="353">
        <v>45748</v>
      </c>
      <c r="C7" s="353"/>
      <c r="D7" s="353"/>
      <c r="E7" s="353"/>
      <c r="F7" s="354"/>
    </row>
    <row r="8" spans="1:6" ht="15" thickBot="1" x14ac:dyDescent="0.4">
      <c r="A8" s="104" t="s">
        <v>6</v>
      </c>
      <c r="B8" s="342">
        <v>46112</v>
      </c>
      <c r="C8" s="342"/>
      <c r="D8" s="342"/>
      <c r="E8" s="342"/>
      <c r="F8" s="343"/>
    </row>
    <row r="9" spans="1:6" ht="4.5" customHeight="1" thickBot="1" x14ac:dyDescent="0.4">
      <c r="A9" s="286"/>
      <c r="B9" s="57"/>
      <c r="C9" s="57"/>
      <c r="D9" s="57"/>
      <c r="E9" s="57"/>
      <c r="F9" s="287"/>
    </row>
    <row r="10" spans="1:6" ht="15" thickBot="1" x14ac:dyDescent="0.4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35">
      <c r="A11" s="355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88.020400000012046</v>
      </c>
      <c r="E11" s="284">
        <f>-(C11-D11)/C11</f>
        <v>0.13608772756027449</v>
      </c>
      <c r="F11" s="121"/>
    </row>
    <row r="12" spans="1:6" x14ac:dyDescent="0.35">
      <c r="A12" s="356"/>
      <c r="B12" s="108" t="s">
        <v>14</v>
      </c>
      <c r="C12" s="109">
        <f>'Monthly KPI'!$E$4</f>
        <v>2401.779663494875</v>
      </c>
      <c r="D12" s="112">
        <f>'Monthly KPI'!F4</f>
        <v>2199.5125000000066</v>
      </c>
      <c r="E12" s="284">
        <f t="shared" ref="E12:E28" si="0">-(C12-D12)/C12</f>
        <v>-8.4215536741012106E-2</v>
      </c>
      <c r="F12" s="291"/>
    </row>
    <row r="13" spans="1:6" ht="15" thickBot="1" x14ac:dyDescent="0.4">
      <c r="A13" s="357"/>
      <c r="B13" s="117" t="s">
        <v>15</v>
      </c>
      <c r="C13" s="122">
        <f>'Annual KPI'!$E$4</f>
        <v>12466.605824862821</v>
      </c>
      <c r="D13" s="123">
        <f>'Annual KPI'!F4</f>
        <v>11129.463200000006</v>
      </c>
      <c r="E13" s="284">
        <f t="shared" si="0"/>
        <v>-0.10725795325910446</v>
      </c>
      <c r="F13" s="292"/>
    </row>
    <row r="14" spans="1:6" x14ac:dyDescent="0.35">
      <c r="A14" s="355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0.1509073602407581</v>
      </c>
      <c r="E14" s="284">
        <f t="shared" si="0"/>
        <v>0.13608772756027443</v>
      </c>
      <c r="F14" s="293"/>
    </row>
    <row r="15" spans="1:6" x14ac:dyDescent="0.35">
      <c r="A15" s="356"/>
      <c r="B15" s="108" t="s">
        <v>17</v>
      </c>
      <c r="C15" s="113">
        <f>'Monthly KPI'!I4</f>
        <v>0.1328307282790816</v>
      </c>
      <c r="D15" s="114">
        <f>'Monthly KPI'!J4</f>
        <v>0.1216443172013592</v>
      </c>
      <c r="E15" s="284">
        <f t="shared" si="0"/>
        <v>-8.4215536741012204E-2</v>
      </c>
      <c r="F15" s="291"/>
    </row>
    <row r="16" spans="1:6" ht="15" thickBot="1" x14ac:dyDescent="0.4">
      <c r="A16" s="357"/>
      <c r="B16" s="117" t="s">
        <v>18</v>
      </c>
      <c r="C16" s="126">
        <f>'Annual KPI'!I4</f>
        <v>0.1751924885549864</v>
      </c>
      <c r="D16" s="118">
        <f>'Annual KPI'!J4</f>
        <v>0.15640170080620949</v>
      </c>
      <c r="E16" s="284">
        <f t="shared" si="0"/>
        <v>-0.10725795325910435</v>
      </c>
      <c r="F16" s="292"/>
    </row>
    <row r="17" spans="1:9" x14ac:dyDescent="0.35">
      <c r="A17" s="355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0.80691685503831723</v>
      </c>
      <c r="E17" s="284">
        <f t="shared" si="0"/>
        <v>0.11534184754922251</v>
      </c>
      <c r="F17" s="294"/>
      <c r="I17" s="55" t="s">
        <v>20</v>
      </c>
    </row>
    <row r="18" spans="1:9" x14ac:dyDescent="0.35">
      <c r="A18" s="356"/>
      <c r="B18" s="108" t="s">
        <v>21</v>
      </c>
      <c r="C18" s="113">
        <f>'Monthly KPI'!$G$4</f>
        <v>0.72347043806469047</v>
      </c>
      <c r="D18" s="114">
        <f>'Monthly KPI'!H4</f>
        <v>0.79732057008357571</v>
      </c>
      <c r="E18" s="284">
        <f t="shared" si="0"/>
        <v>0.10207760833523068</v>
      </c>
      <c r="F18" s="291"/>
    </row>
    <row r="19" spans="1:9" ht="15" thickBot="1" x14ac:dyDescent="0.4">
      <c r="A19" s="357"/>
      <c r="B19" s="117" t="s">
        <v>22</v>
      </c>
      <c r="C19" s="126">
        <f>'Annual KPI'!$G$4</f>
        <v>0.74192017137547039</v>
      </c>
      <c r="D19" s="118">
        <f>'Annual KPI'!H4</f>
        <v>0.76032490761572125</v>
      </c>
      <c r="E19" s="284">
        <f t="shared" si="0"/>
        <v>2.4806895607285755E-2</v>
      </c>
      <c r="F19" s="292"/>
    </row>
    <row r="20" spans="1:9" x14ac:dyDescent="0.35">
      <c r="A20" s="355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4.4884136738056011</v>
      </c>
      <c r="E20" s="284">
        <f t="shared" si="0"/>
        <v>1.8600467701124737E-2</v>
      </c>
      <c r="F20" s="294"/>
      <c r="H20" s="55" t="s">
        <v>20</v>
      </c>
    </row>
    <row r="21" spans="1:9" x14ac:dyDescent="0.35">
      <c r="A21" s="356"/>
      <c r="B21" s="108" t="s">
        <v>24</v>
      </c>
      <c r="C21" s="115">
        <f>'Monthly KPI'!$C$4</f>
        <v>136.6</v>
      </c>
      <c r="D21" s="112">
        <f>'Monthly KPI'!D4</f>
        <v>113.50939056836903</v>
      </c>
      <c r="E21" s="284">
        <f t="shared" si="0"/>
        <v>-0.16903813639554149</v>
      </c>
      <c r="F21" s="295"/>
    </row>
    <row r="22" spans="1:9" ht="15" thickBot="1" x14ac:dyDescent="0.4">
      <c r="A22" s="357"/>
      <c r="B22" s="117" t="s">
        <v>25</v>
      </c>
      <c r="C22" s="129">
        <f>'Annual KPI'!$C$4</f>
        <v>691.4</v>
      </c>
      <c r="D22" s="123">
        <f>'Annual KPI'!D4</f>
        <v>602.30064196717433</v>
      </c>
      <c r="E22" s="284">
        <f t="shared" si="0"/>
        <v>-0.12886803302404637</v>
      </c>
      <c r="F22" s="296"/>
    </row>
    <row r="23" spans="1:9" x14ac:dyDescent="0.35">
      <c r="A23" s="355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0.99937335518893367</v>
      </c>
      <c r="E23" s="284">
        <f t="shared" si="0"/>
        <v>4.3953318481745425E-3</v>
      </c>
      <c r="F23" s="297"/>
    </row>
    <row r="24" spans="1:9" x14ac:dyDescent="0.35">
      <c r="A24" s="356"/>
      <c r="B24" s="108" t="s">
        <v>27</v>
      </c>
      <c r="C24" s="116">
        <f>_xlfn.XLOOKUP($B$4,'Modelling New'!$D:$D,'Modelling New'!$AE:$AE)</f>
        <v>0.995</v>
      </c>
      <c r="D24" s="114">
        <f>'Monthly KPI'!N4</f>
        <v>0.96254935764567784</v>
      </c>
      <c r="E24" s="284">
        <f t="shared" si="0"/>
        <v>-3.2613710908866486E-2</v>
      </c>
      <c r="F24" s="295"/>
    </row>
    <row r="25" spans="1:9" ht="15" thickBot="1" x14ac:dyDescent="0.4">
      <c r="A25" s="357"/>
      <c r="B25" s="117" t="s">
        <v>28</v>
      </c>
      <c r="C25" s="116">
        <f>_xlfn.XLOOKUP($B$4,'Modelling New'!$D:$D,'Modelling New'!$AE:$AE)</f>
        <v>0.995</v>
      </c>
      <c r="D25" s="118">
        <f>'Annual KPI'!N4</f>
        <v>0.9689856588219895</v>
      </c>
      <c r="E25" s="284">
        <f t="shared" si="0"/>
        <v>-2.6145066510563308E-2</v>
      </c>
      <c r="F25" s="292"/>
    </row>
    <row r="26" spans="1:9" x14ac:dyDescent="0.35">
      <c r="A26" s="355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4">
        <f t="shared" si="0"/>
        <v>2.5062656641603475E-3</v>
      </c>
      <c r="F26" s="294"/>
    </row>
    <row r="27" spans="1:9" x14ac:dyDescent="0.35">
      <c r="A27" s="356"/>
      <c r="B27" s="108" t="s">
        <v>30</v>
      </c>
      <c r="C27" s="290">
        <f>_xlfn.XLOOKUP($B$4,'Modelling New'!$D:$D,'Modelling New'!$AF:$AF)</f>
        <v>0.995</v>
      </c>
      <c r="D27" s="289">
        <f>'Monthly KPI'!L4</f>
        <v>1</v>
      </c>
      <c r="E27" s="284">
        <f t="shared" si="0"/>
        <v>5.0251256281407079E-3</v>
      </c>
      <c r="F27" s="291"/>
    </row>
    <row r="28" spans="1:9" ht="15" thickBot="1" x14ac:dyDescent="0.4">
      <c r="A28" s="357"/>
      <c r="B28" s="117" t="s">
        <v>31</v>
      </c>
      <c r="C28" s="118">
        <f>_xlfn.XLOOKUP($B$4,'Modelling New'!$D:$D,'Modelling New'!$AF:$AF)</f>
        <v>0.995</v>
      </c>
      <c r="D28" s="118">
        <f>'Annual KPI'!L4</f>
        <v>0.99209933133271022</v>
      </c>
      <c r="E28" s="288">
        <f t="shared" si="0"/>
        <v>-2.9152448917485166E-3</v>
      </c>
      <c r="F28" s="292"/>
    </row>
    <row r="29" spans="1:9" x14ac:dyDescent="0.35">
      <c r="F29" s="298"/>
    </row>
    <row r="30" spans="1:9" ht="15" thickBot="1" x14ac:dyDescent="0.4"/>
    <row r="31" spans="1:9" ht="15.5" x14ac:dyDescent="0.35">
      <c r="A31" s="339" t="s">
        <v>32</v>
      </c>
      <c r="B31" s="340"/>
      <c r="C31" s="340"/>
      <c r="D31" s="340"/>
      <c r="E31" s="340"/>
      <c r="F31" s="341"/>
    </row>
    <row r="32" spans="1:9" x14ac:dyDescent="0.35">
      <c r="A32" s="191" t="s">
        <v>1</v>
      </c>
      <c r="B32" s="192">
        <f>B4</f>
        <v>45839</v>
      </c>
      <c r="C32" s="193"/>
      <c r="D32" s="193"/>
      <c r="E32" s="193"/>
      <c r="F32" s="194"/>
    </row>
    <row r="33" spans="1:6" x14ac:dyDescent="0.35">
      <c r="A33" s="191" t="s">
        <v>2</v>
      </c>
      <c r="B33" s="195">
        <f>B5</f>
        <v>45869</v>
      </c>
      <c r="C33" s="193"/>
      <c r="D33" s="193"/>
      <c r="E33" s="193"/>
      <c r="F33" s="194"/>
    </row>
    <row r="34" spans="1:6" x14ac:dyDescent="0.35">
      <c r="A34" s="191" t="s">
        <v>3</v>
      </c>
      <c r="B34" s="196" t="str">
        <f>B6</f>
        <v>Year_3</v>
      </c>
      <c r="C34" s="193"/>
      <c r="D34" s="193"/>
      <c r="E34" s="193"/>
      <c r="F34" s="194"/>
    </row>
    <row r="35" spans="1:6" x14ac:dyDescent="0.35">
      <c r="A35" s="191" t="s">
        <v>5</v>
      </c>
      <c r="B35" s="195">
        <f>B7</f>
        <v>45748</v>
      </c>
      <c r="C35" s="193"/>
      <c r="D35" s="193"/>
      <c r="E35" s="193"/>
      <c r="F35" s="194"/>
    </row>
    <row r="36" spans="1:6" ht="15" thickBot="1" x14ac:dyDescent="0.4">
      <c r="A36" s="197" t="s">
        <v>6</v>
      </c>
      <c r="B36" s="198">
        <f>B8</f>
        <v>46112</v>
      </c>
      <c r="C36" s="199"/>
      <c r="D36" s="199"/>
      <c r="E36" s="199"/>
      <c r="F36" s="200"/>
    </row>
    <row r="37" spans="1:6" ht="15" thickBot="1" x14ac:dyDescent="0.4">
      <c r="A37" s="201"/>
      <c r="B37" s="202"/>
      <c r="C37" s="202"/>
      <c r="D37" s="203"/>
      <c r="E37" s="201"/>
      <c r="F37" s="202"/>
    </row>
    <row r="38" spans="1:6" ht="15" thickBot="1" x14ac:dyDescent="0.4">
      <c r="A38" s="204" t="s">
        <v>33</v>
      </c>
      <c r="B38" s="205" t="s">
        <v>8</v>
      </c>
      <c r="C38" s="205" t="s">
        <v>9</v>
      </c>
      <c r="D38" s="205" t="s">
        <v>10</v>
      </c>
      <c r="E38" s="206" t="s">
        <v>11</v>
      </c>
      <c r="F38" s="206" t="s">
        <v>12</v>
      </c>
    </row>
    <row r="39" spans="1:6" x14ac:dyDescent="0.35">
      <c r="A39" s="190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1834354.5543264919</v>
      </c>
      <c r="D39" s="115">
        <f>SUMIFS(RD[O2R6],RD[Month Year],$B$32)</f>
        <v>951767.3</v>
      </c>
      <c r="E39" s="110">
        <f>D39/C39-1</f>
        <v>-0.48114321860233056</v>
      </c>
      <c r="F39" s="111"/>
    </row>
    <row r="40" spans="1:6" x14ac:dyDescent="0.35">
      <c r="A40" s="190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567425.10916838329</v>
      </c>
      <c r="D40" s="115">
        <f>SUMIFS(RD[O2R10],RD[Month Year],$B$32)</f>
        <v>286704.82999999996</v>
      </c>
      <c r="E40" s="110">
        <f>D40/C40-1</f>
        <v>-0.49472657207539905</v>
      </c>
      <c r="F40" s="111"/>
    </row>
    <row r="41" spans="1:6" x14ac:dyDescent="0.35">
      <c r="A41" s="190" t="s">
        <v>36</v>
      </c>
      <c r="B41" s="108" t="s">
        <v>14</v>
      </c>
      <c r="C41" s="115">
        <f>_xlfn.XLOOKUP($B$32,'Modelling New'!$D:$D,'Modelling New'!$U:$U)*1000</f>
        <v>2401779.6634948752</v>
      </c>
      <c r="D41" s="115">
        <f>SUMIFS(RD[PSEGPL],RD[Month Year],$B$32)</f>
        <v>984435</v>
      </c>
      <c r="E41" s="110">
        <f>D41/C41-1</f>
        <v>-0.59012268487296216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topLeftCell="A4" zoomScale="85" zoomScaleNormal="85" workbookViewId="0">
      <selection activeCell="D21" sqref="D21"/>
    </sheetView>
  </sheetViews>
  <sheetFormatPr defaultColWidth="8.81640625" defaultRowHeight="14.5" x14ac:dyDescent="0.35"/>
  <cols>
    <col min="1" max="1" width="11" customWidth="1"/>
    <col min="2" max="2" width="12.1796875" style="2" bestFit="1" customWidth="1"/>
    <col min="3" max="3" width="14.1796875" customWidth="1"/>
    <col min="4" max="6" width="10.1796875" customWidth="1"/>
    <col min="8" max="8" width="10.1796875" customWidth="1"/>
    <col min="9" max="9" width="9.81640625" customWidth="1"/>
    <col min="10" max="10" width="10.453125" customWidth="1"/>
    <col min="12" max="12" width="9.453125" customWidth="1"/>
    <col min="13" max="13" width="9" customWidth="1"/>
    <col min="14" max="14" width="9.453125" customWidth="1"/>
  </cols>
  <sheetData>
    <row r="1" spans="1:16" ht="22" customHeight="1" x14ac:dyDescent="0.35">
      <c r="A1" s="58" t="s">
        <v>37</v>
      </c>
      <c r="B1" s="59">
        <f>'Daily Dashboard'!B5</f>
        <v>45869</v>
      </c>
      <c r="C1" s="282">
        <f>'Daily Dashboard'!B4</f>
        <v>45839</v>
      </c>
      <c r="D1" s="92"/>
      <c r="E1" s="92"/>
      <c r="F1" s="92"/>
      <c r="G1" s="92"/>
    </row>
    <row r="2" spans="1:16" ht="21" x14ac:dyDescent="0.35">
      <c r="A2" s="358" t="s">
        <v>38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6" ht="43.5" x14ac:dyDescent="0.3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49999999999999" customHeight="1" x14ac:dyDescent="0.35">
      <c r="A4" s="283">
        <f>YEAR($B$1)+IF(MONTH($B$1)&gt;=4,1,0)</f>
        <v>2026</v>
      </c>
      <c r="B4" s="50">
        <f>$B$1-('Daily Dashboard'!$B$7)+1</f>
        <v>122</v>
      </c>
      <c r="C4" s="50">
        <f>_xlfn.XLOOKUP($C$1,'Modelling New'!$D:$D,'Modelling New'!$S:$S,0)</f>
        <v>691.4</v>
      </c>
      <c r="D4" s="51">
        <f>SUMIFS('Daily KPI'!$I:$I,'Daily KPI'!$B:$B,'Annual KPI'!$A$4,'Daily KPI'!$A:$A,"&lt;="&amp;'Annual KPI'!$B$1)</f>
        <v>602.30064196717433</v>
      </c>
      <c r="E4" s="50">
        <f>_xlfn.XLOOKUP($C$1,'Modelling New'!$D:$D,'Modelling New'!$V:$V,0)</f>
        <v>12466.605824862821</v>
      </c>
      <c r="F4" s="51">
        <f>SUMIFS('Daily KPI'!$AA:$AA,'Daily KPI'!$B:$B,'Annual KPI'!$A$4,'Daily KPI'!$A:$A,"&lt;="&amp;'Annual KPI'!$B$1)/1000</f>
        <v>11129.463200000006</v>
      </c>
      <c r="G4" s="52">
        <f>IFERROR(E4/C4/_xlfn.XLOOKUP($C$1,'Modelling New'!$D:$D,'Modelling New'!$AA:$AA,0),"")</f>
        <v>0.74192017137547039</v>
      </c>
      <c r="H4" s="53">
        <f>IFERROR(F4/D4/_xlfn.XLOOKUP($C$1,'Modelling New'!$D:$D,'Modelling New'!$AA:$AA,0),"")</f>
        <v>0.76032490761572125</v>
      </c>
      <c r="I4" s="52">
        <f>IFERROR(E4/(B4*24*_xlfn.XLOOKUP($C$1,'Modelling New'!$D:$D,'Modelling New'!$AA:$AA,0)),"")</f>
        <v>0.1751924885549864</v>
      </c>
      <c r="J4" s="53">
        <f>IFERROR(F4/(B4*24*_xlfn.XLOOKUP($C$1,'Modelling New'!$D:$D,'Modelling New'!$AA:$AA,0)),"")</f>
        <v>0.15640170080620949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0.99209933133271022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0.9689856588219895</v>
      </c>
      <c r="P4" s="208"/>
    </row>
    <row r="5" spans="1:16" x14ac:dyDescent="0.35">
      <c r="C5" s="185"/>
      <c r="E5" s="185"/>
      <c r="G5" s="207"/>
      <c r="L5" s="207"/>
      <c r="M5" s="23"/>
      <c r="N5" s="23"/>
    </row>
    <row r="8" spans="1:16" ht="21" x14ac:dyDescent="0.35">
      <c r="A8" s="358" t="s">
        <v>53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6" ht="52" customHeight="1" x14ac:dyDescent="0.3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3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3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3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35">
      <c r="A13" s="47">
        <v>45839</v>
      </c>
      <c r="B13" s="43">
        <f>_xlfn.XLOOKUP($A13,'Modelling New'!D:D,'Modelling New'!$Q:$Q)</f>
        <v>31</v>
      </c>
      <c r="C13" s="43">
        <f>_xlfn.XLOOKUP($A13,'Modelling New'!$D:$D,'Modelling New'!R:R)</f>
        <v>136.6</v>
      </c>
      <c r="D13" s="44">
        <f>SUMIF('Daily KPI'!$D:$D,$A13,'Daily KPI'!$I:$I)</f>
        <v>113.50939056836903</v>
      </c>
      <c r="E13" s="43">
        <f>_xlfn.XLOOKUP($A13,'Modelling New'!$D:$D,'Modelling New'!$U:$U)</f>
        <v>2401.779663494875</v>
      </c>
      <c r="F13" s="44">
        <f>SUMIF('Daily KPI'!$D:$D,A13,'Daily KPI'!$AA:$AA)/1000</f>
        <v>2199.5125000000066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0.79732057008357571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0.1216443172013592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0.96254935764567784</v>
      </c>
    </row>
    <row r="14" spans="1:16" x14ac:dyDescent="0.35">
      <c r="A14" s="47">
        <v>45870</v>
      </c>
      <c r="B14" s="43">
        <f>_xlfn.XLOOKUP($A14,'Modelling New'!D:D,'Modelling New'!$Q:$Q)</f>
        <v>4</v>
      </c>
      <c r="C14" s="43">
        <f>_xlfn.XLOOKUP($A14,'Modelling New'!$D:$D,'Modelling New'!R:R)</f>
        <v>16.696774193548389</v>
      </c>
      <c r="D14" s="44">
        <f>SUMIF('Daily KPI'!$D:$D,$A14,'Daily KPI'!$I:$I)</f>
        <v>20.928700411861612</v>
      </c>
      <c r="E14" s="43">
        <f>_xlfn.XLOOKUP($A14,'Modelling New'!$D:$D,'Modelling New'!$U:$U)</f>
        <v>312.268852754752</v>
      </c>
      <c r="F14" s="44">
        <f>SUMIF('Daily KPI'!$D:$D,A14,'Daily KPI'!$AA:$AA)/1000</f>
        <v>403.19639999997793</v>
      </c>
      <c r="G14" s="45">
        <f>IFERROR(E14/C14/_xlfn.XLOOKUP($A14,'Modelling New'!$D:$D,'Modelling New'!$AA:$AA),"")</f>
        <v>0.76954570740685357</v>
      </c>
      <c r="H14" s="46">
        <f>IFERROR(F14/D14/_xlfn.XLOOKUP($A14,'Modelling New'!$D:$D,'Modelling New'!$AA:$AA),"")</f>
        <v>0.79270703179669166</v>
      </c>
      <c r="I14" s="45">
        <f>IFERROR(E14/(B14*24*_xlfn.XLOOKUP($A14,'Modelling New'!$D:$D,'Modelling New'!$AA:$AA)),"")</f>
        <v>0.13384303029361139</v>
      </c>
      <c r="J14" s="46">
        <f>IFERROR(F14/(B14*24*_xlfn.XLOOKUP($A14,'Modelling New'!$D:$D,'Modelling New'!$AA:$AA)),"")</f>
        <v>0.17281591648801059</v>
      </c>
      <c r="K14" s="45">
        <v>0.995</v>
      </c>
      <c r="L14" s="46">
        <f>IFERROR(AVERAGEIF('Daily KPI'!$D:$D,A14,'Daily KPI'!$R:$R),"")</f>
        <v>1</v>
      </c>
      <c r="M14" s="45">
        <v>0.995</v>
      </c>
      <c r="N14" s="46">
        <f>IFERROR(AVERAGEIF('Daily KPI'!$D:$D,$A14,'Daily KPI'!$O:$O),"")</f>
        <v>0.99215426823452646</v>
      </c>
    </row>
    <row r="15" spans="1:16" x14ac:dyDescent="0.3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3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3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3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3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3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3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1640625" defaultRowHeight="14.5" x14ac:dyDescent="0.35"/>
  <sheetData>
    <row r="1" spans="1:1" x14ac:dyDescent="0.35">
      <c r="A1" t="s">
        <v>54</v>
      </c>
    </row>
    <row r="2" spans="1:1" x14ac:dyDescent="0.35">
      <c r="A2" t="s">
        <v>55</v>
      </c>
    </row>
    <row r="3" spans="1:1" x14ac:dyDescent="0.35">
      <c r="A3" t="s">
        <v>56</v>
      </c>
    </row>
    <row r="4" spans="1:1" x14ac:dyDescent="0.35">
      <c r="A4" t="s">
        <v>57</v>
      </c>
    </row>
    <row r="5" spans="1:1" x14ac:dyDescent="0.35">
      <c r="A5" t="s">
        <v>58</v>
      </c>
    </row>
    <row r="6" spans="1:1" x14ac:dyDescent="0.35">
      <c r="A6" t="s">
        <v>59</v>
      </c>
    </row>
    <row r="7" spans="1:1" x14ac:dyDescent="0.35">
      <c r="A7" t="s">
        <v>60</v>
      </c>
    </row>
    <row r="8" spans="1:1" x14ac:dyDescent="0.35">
      <c r="A8" t="s">
        <v>61</v>
      </c>
    </row>
    <row r="9" spans="1:1" x14ac:dyDescent="0.35">
      <c r="A9" t="s">
        <v>62</v>
      </c>
    </row>
    <row r="10" spans="1:1" x14ac:dyDescent="0.35">
      <c r="A10" t="s">
        <v>63</v>
      </c>
    </row>
    <row r="11" spans="1:1" x14ac:dyDescent="0.35">
      <c r="A11" t="s">
        <v>64</v>
      </c>
    </row>
    <row r="12" spans="1:1" x14ac:dyDescent="0.35">
      <c r="A12" t="s">
        <v>65</v>
      </c>
    </row>
    <row r="13" spans="1:1" x14ac:dyDescent="0.35">
      <c r="A13" t="s">
        <v>66</v>
      </c>
    </row>
    <row r="14" spans="1:1" x14ac:dyDescent="0.35">
      <c r="A14" t="s">
        <v>67</v>
      </c>
    </row>
    <row r="15" spans="1:1" x14ac:dyDescent="0.3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B6" sqref="B6"/>
    </sheetView>
  </sheetViews>
  <sheetFormatPr defaultColWidth="8.81640625" defaultRowHeight="14.5" x14ac:dyDescent="0.35"/>
  <cols>
    <col min="2" max="2" width="10.453125" customWidth="1"/>
    <col min="3" max="3" width="13.453125" customWidth="1"/>
    <col min="4" max="4" width="12" customWidth="1"/>
    <col min="5" max="5" width="12.453125" customWidth="1"/>
    <col min="6" max="6" width="13.81640625" customWidth="1"/>
    <col min="7" max="7" width="9.453125" bestFit="1" customWidth="1"/>
    <col min="8" max="8" width="12.453125" customWidth="1"/>
    <col min="9" max="9" width="10.1796875" customWidth="1"/>
    <col min="10" max="10" width="11.1796875" customWidth="1"/>
    <col min="12" max="12" width="9.1796875" customWidth="1"/>
    <col min="14" max="14" width="9.453125" customWidth="1"/>
  </cols>
  <sheetData>
    <row r="1" spans="1:14" x14ac:dyDescent="0.35">
      <c r="A1" s="58" t="s">
        <v>37</v>
      </c>
      <c r="B1" s="59">
        <f>'Daily Dashboard'!B5</f>
        <v>45869</v>
      </c>
      <c r="C1" s="92"/>
      <c r="D1" s="92"/>
      <c r="E1" s="92"/>
      <c r="F1" s="92"/>
    </row>
    <row r="2" spans="1:14" ht="20.5" customHeight="1" x14ac:dyDescent="0.35">
      <c r="A2" s="358" t="s">
        <v>69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4" ht="43.5" x14ac:dyDescent="0.3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35">
      <c r="A4" s="47">
        <f>'Daily Dashboard'!B4</f>
        <v>45839</v>
      </c>
      <c r="B4" s="43">
        <f>DAY(B1)</f>
        <v>31</v>
      </c>
      <c r="C4" s="43">
        <f>_xlfn.XLOOKUP($A$4,'Modelling New'!$D:$D,'Modelling New'!$R:$R,0)</f>
        <v>136.6</v>
      </c>
      <c r="D4" s="44">
        <f>SUMIF('Daily KPI'!$D:$D,$A$4,'Daily KPI'!$I:$I)</f>
        <v>113.50939056836903</v>
      </c>
      <c r="E4" s="43">
        <f>_xlfn.XLOOKUP($A$4,'Modelling New'!$D:$D,'Modelling New'!$U:$U,0)</f>
        <v>2401.779663494875</v>
      </c>
      <c r="F4" s="44">
        <f>SUMIF('Daily KPI'!$D:$D,'Monthly KPI'!$A$4,'Daily KPI'!$AA:$AA)/1000</f>
        <v>2199.5125000000066</v>
      </c>
      <c r="G4" s="45">
        <f>IFERROR(E4/C4/_xlfn.XLOOKUP($A$4,'Modelling New'!$D:$D,'Modelling New'!$N:$N,0),"")</f>
        <v>0.72347043806469047</v>
      </c>
      <c r="H4" s="46">
        <f>IFERROR(F4/D4/_xlfn.XLOOKUP($B$1,'Daily KPI'!$A:$A,'Daily KPI'!$AR:$AR,0),"")</f>
        <v>0.79732057008357571</v>
      </c>
      <c r="I4" s="45">
        <f>IFERROR(E4/(B4*24*_xlfn.XLOOKUP($A$4,'Modelling New'!$D:$D,'Modelling New'!$N:$N,0)),"")</f>
        <v>0.1328307282790816</v>
      </c>
      <c r="J4" s="46">
        <f>IFERROR(F4/(B4*24*_xlfn.XLOOKUP($A$4,'Modelling New'!$D:$D,'Modelling New'!$N:$N,0)),"")</f>
        <v>0.1216443172013592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0.96254935764567784</v>
      </c>
    </row>
    <row r="5" spans="1:14" x14ac:dyDescent="0.35">
      <c r="C5" s="209"/>
      <c r="D5" s="210"/>
      <c r="G5" s="207"/>
      <c r="J5" s="207"/>
      <c r="L5" s="207"/>
      <c r="M5" s="207"/>
    </row>
    <row r="6" spans="1:14" x14ac:dyDescent="0.35">
      <c r="A6" s="58" t="s">
        <v>70</v>
      </c>
      <c r="B6" s="59">
        <f>B7-6</f>
        <v>45863</v>
      </c>
      <c r="D6" s="98"/>
      <c r="F6" s="98"/>
    </row>
    <row r="7" spans="1:14" x14ac:dyDescent="0.35">
      <c r="A7" s="58" t="s">
        <v>71</v>
      </c>
      <c r="B7" s="59">
        <f>B1</f>
        <v>45869</v>
      </c>
    </row>
    <row r="8" spans="1:14" ht="21" x14ac:dyDescent="0.35">
      <c r="A8" s="358" t="s">
        <v>69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4" ht="43.5" x14ac:dyDescent="0.3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3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20.775785543657328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408.09230000001486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0.80823801411623308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9.9951069342323479E-2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0.96085377255486015</v>
      </c>
    </row>
    <row r="11" spans="1:14" x14ac:dyDescent="0.35">
      <c r="D11" s="133"/>
      <c r="E11" s="132"/>
      <c r="F11" s="133"/>
      <c r="H11" s="133"/>
    </row>
    <row r="12" spans="1:14" x14ac:dyDescent="0.3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O116" activePane="bottomRight" state="frozen"/>
      <selection pane="topRight" activeCell="AB39" sqref="AB39"/>
      <selection pane="bottomLeft" activeCell="AB39" sqref="AB39"/>
      <selection pane="bottomRight" activeCell="AA116" sqref="AA116"/>
    </sheetView>
  </sheetViews>
  <sheetFormatPr defaultColWidth="8.54296875" defaultRowHeight="14.5" x14ac:dyDescent="0.35"/>
  <cols>
    <col min="1" max="1" width="9.54296875" bestFit="1" customWidth="1"/>
    <col min="2" max="5" width="9" customWidth="1"/>
    <col min="6" max="9" width="10.453125" customWidth="1"/>
    <col min="10" max="12" width="11.453125" customWidth="1"/>
    <col min="13" max="13" width="15.1796875" bestFit="1" customWidth="1"/>
    <col min="14" max="39" width="11.453125" customWidth="1"/>
    <col min="40" max="40" width="11.453125" style="209" customWidth="1"/>
    <col min="41" max="45" width="11.453125" customWidth="1"/>
  </cols>
  <sheetData>
    <row r="1" spans="1:45" ht="58" x14ac:dyDescent="0.35">
      <c r="A1" s="222" t="s">
        <v>72</v>
      </c>
      <c r="B1" s="223" t="s">
        <v>73</v>
      </c>
      <c r="C1" s="223" t="s">
        <v>74</v>
      </c>
      <c r="D1" s="223" t="s">
        <v>75</v>
      </c>
      <c r="E1" s="223" t="s">
        <v>40</v>
      </c>
      <c r="F1" s="224" t="s">
        <v>76</v>
      </c>
      <c r="G1" s="224" t="s">
        <v>77</v>
      </c>
      <c r="H1" s="224" t="s">
        <v>78</v>
      </c>
      <c r="I1" s="224" t="s">
        <v>79</v>
      </c>
      <c r="J1" s="224" t="s">
        <v>80</v>
      </c>
      <c r="K1" s="224" t="s">
        <v>81</v>
      </c>
      <c r="L1" s="224" t="s">
        <v>82</v>
      </c>
      <c r="M1" s="224" t="s">
        <v>83</v>
      </c>
      <c r="N1" s="224" t="s">
        <v>84</v>
      </c>
      <c r="O1" s="224" t="s">
        <v>85</v>
      </c>
      <c r="P1" s="224" t="s">
        <v>86</v>
      </c>
      <c r="Q1" s="224" t="s">
        <v>87</v>
      </c>
      <c r="R1" s="224" t="s">
        <v>88</v>
      </c>
      <c r="S1" s="224" t="s">
        <v>89</v>
      </c>
      <c r="T1" s="224" t="s">
        <v>90</v>
      </c>
      <c r="U1" s="224" t="s">
        <v>91</v>
      </c>
      <c r="V1" s="224" t="s">
        <v>92</v>
      </c>
      <c r="W1" s="224" t="s">
        <v>93</v>
      </c>
      <c r="X1" s="224" t="s">
        <v>94</v>
      </c>
      <c r="Y1" s="224" t="s">
        <v>95</v>
      </c>
      <c r="Z1" s="224" t="s">
        <v>96</v>
      </c>
      <c r="AA1" s="224" t="s">
        <v>97</v>
      </c>
      <c r="AB1" s="224" t="s">
        <v>98</v>
      </c>
      <c r="AC1" s="224" t="s">
        <v>99</v>
      </c>
      <c r="AD1" s="224" t="s">
        <v>100</v>
      </c>
      <c r="AE1" s="224" t="s">
        <v>101</v>
      </c>
      <c r="AF1" s="224" t="s">
        <v>102</v>
      </c>
      <c r="AG1" s="224" t="s">
        <v>103</v>
      </c>
      <c r="AH1" s="224" t="s">
        <v>104</v>
      </c>
      <c r="AI1" s="224" t="s">
        <v>105</v>
      </c>
      <c r="AJ1" s="224" t="s">
        <v>106</v>
      </c>
      <c r="AK1" s="224" t="s">
        <v>107</v>
      </c>
      <c r="AL1" s="224" t="s">
        <v>108</v>
      </c>
      <c r="AM1" s="224" t="s">
        <v>109</v>
      </c>
      <c r="AN1" s="225" t="s">
        <v>110</v>
      </c>
      <c r="AO1" s="224" t="s">
        <v>111</v>
      </c>
      <c r="AP1" s="224" t="s">
        <v>112</v>
      </c>
      <c r="AQ1" s="224" t="s">
        <v>113</v>
      </c>
      <c r="AR1" s="224" t="s">
        <v>114</v>
      </c>
      <c r="AS1" s="224" t="s">
        <v>115</v>
      </c>
    </row>
    <row r="2" spans="1:45" x14ac:dyDescent="0.35">
      <c r="A2" s="226">
        <v>45745</v>
      </c>
      <c r="B2" s="227">
        <f>YEAR(Daily_KPI[[#This Row],[Date]])+IF(MONTH(Daily_KPI[[#This Row],[Date]])&gt;=4,1,0)</f>
        <v>2025</v>
      </c>
      <c r="C2" s="6">
        <f>YEAR(Daily_KPI[[#This Row],[Date]])</f>
        <v>2025</v>
      </c>
      <c r="D2" s="228">
        <f>Daily_KPI[[#This Row],[Date]]-DAY(Daily_KPI[[#This Row],[Date]])+1</f>
        <v>45717</v>
      </c>
      <c r="E2" s="6">
        <f t="shared" ref="E2:E52" si="0">DAY(EOMONTH(A2,0))</f>
        <v>31</v>
      </c>
      <c r="F2" s="229">
        <f>IFERROR(_xlfn.XLOOKUP($A2,'Raw Data'!$A:$A,'Raw Data'!$BR:$BR),"")</f>
        <v>11.533333333333331</v>
      </c>
      <c r="G2" s="230">
        <f>IFERROR(_xlfn.XLOOKUP($A2,'Raw Data'!$A:$A,'Raw Data'!$AO:$AO),"")</f>
        <v>0</v>
      </c>
      <c r="H2" s="230"/>
      <c r="I2" s="230">
        <f>IFERROR(_xlfn.XLOOKUP($A2,'Raw Data'!$A:$A,'Raw Data'!$AR:$AR),"")</f>
        <v>6.1564010255354198</v>
      </c>
      <c r="J2" s="230"/>
      <c r="K2" s="230">
        <f>IFERROR(_xlfn.XLOOKUP($A2,'Raw Data'!$A:$A,'Raw Data'!$AV:$AV),"")</f>
        <v>0</v>
      </c>
      <c r="L2" s="230">
        <f>IFERROR(_xlfn.XLOOKUP($A2,'Raw Data'!$A:$A,'Raw Data'!$AW:$AW),"")</f>
        <v>0</v>
      </c>
      <c r="M2" s="230">
        <f>IFERROR(_xlfn.XLOOKUP($A2,'Raw Data'!$A:$A,'Raw Data'!$AX:$AX),"")</f>
        <v>0</v>
      </c>
      <c r="N2" s="230">
        <f>IFERROR(_xlfn.XLOOKUP($A2,'Raw Data'!$A:$A,'Raw Data'!$AY:$AY),"")</f>
        <v>0</v>
      </c>
      <c r="O2" s="231" t="str">
        <f>IFERROR(1-(SUMIF('Plant BD'!$B:$B,A2,'Plant BD'!$AE:$AE)/(AA2+SUMIF('Plant BD'!$B:$B,A2,'Plant BD'!$AE:$AE))),"")</f>
        <v/>
      </c>
      <c r="P2" s="231"/>
      <c r="Q2" s="232"/>
      <c r="R2" s="231" t="str">
        <f>IFERROR(1-(SUMIF('Grid BD'!$B:$B,$A2,'Grid BD'!$AD:$AD)/($AA2+SUMIF('Grid BD'!$B:$B,$A2,'Grid BD'!AD:AD))),"")</f>
        <v/>
      </c>
      <c r="S2" s="6"/>
      <c r="T2" s="232"/>
      <c r="U2" s="233" t="str">
        <f t="shared" ref="U2:U17" si="1">IFERROR(AA2/I2/AB2/1000,"")</f>
        <v/>
      </c>
      <c r="V2" s="233"/>
      <c r="W2" s="234" t="str">
        <f t="shared" ref="W2:W42" si="2">IFERROR(AA2/(24*AR2*1000),"")</f>
        <v/>
      </c>
      <c r="X2" s="227">
        <f>IFERROR(_xlfn.XLOOKUP($A2,'Raw Data'!$A:$A,'Raw Data'!$BA:$BA),"")</f>
        <v>114708</v>
      </c>
      <c r="Y2" s="227" t="str">
        <f>IFERROR(_xlfn.XLOOKUP($A2,'Raw Data'!$A:$A,'Raw Data'!BJ:BJ),"")</f>
        <v/>
      </c>
      <c r="Z2" s="227" t="str">
        <f>IFERROR(_xlfn.XLOOKUP($A2,'Raw Data'!$A:$A,'Raw Data'!BK:BK),"")</f>
        <v/>
      </c>
      <c r="AA2" s="227" t="str">
        <f>IFERROR(_xlfn.XLOOKUP($A2,'Raw Data'!$A:$A,'Raw Data'!BL:BL),"")</f>
        <v/>
      </c>
      <c r="AB2" s="227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27">
        <f>IFERROR(_xlfn.XLOOKUP($D2,'Modelling New'!$D:$D,'Modelling New'!$T:$T)*1000,"")</f>
        <v>129014.28979703547</v>
      </c>
      <c r="AE2" s="234">
        <f>IFERROR(_xlfn.XLOOKUP($D2,'Modelling New'!$D:$D,'Modelling New'!$O:$O),"")</f>
        <v>0.76935547971207985</v>
      </c>
      <c r="AF2" s="234">
        <f>IFERROR(_xlfn.XLOOKUP($D2,'Modelling New'!$D:$D,'Modelling New'!$W:$W),"")</f>
        <v>0.22118970041722297</v>
      </c>
      <c r="AG2" s="234">
        <f>IFERROR(_xlfn.XLOOKUP($D2,'Modelling New'!$D:$D,'Modelling New'!AE:AE),"")</f>
        <v>0.995</v>
      </c>
      <c r="AH2" s="234">
        <v>0.99750000000000005</v>
      </c>
      <c r="AI2" s="6"/>
      <c r="AJ2" s="6"/>
      <c r="AK2" s="6"/>
      <c r="AL2" s="6"/>
      <c r="AM2" s="6"/>
      <c r="AN2" s="231"/>
      <c r="AO2" s="234"/>
      <c r="AP2" s="234"/>
      <c r="AQ2" s="234"/>
      <c r="AR2" s="227">
        <f>IFERROR(_xlfn.XLOOKUP($D2,'Modelling New'!$D:$D,'Modelling New'!$N:$N),"")</f>
        <v>24.303100000000001</v>
      </c>
      <c r="AS2" s="227"/>
    </row>
    <row r="3" spans="1:45" x14ac:dyDescent="0.35">
      <c r="A3" s="226">
        <f t="shared" ref="A3:A19" si="3">A2+1</f>
        <v>45746</v>
      </c>
      <c r="B3" s="227">
        <f>YEAR(Daily_KPI[[#This Row],[Date]])+IF(MONTH(Daily_KPI[[#This Row],[Date]])&gt;=4,1,0)</f>
        <v>2025</v>
      </c>
      <c r="C3" s="6">
        <f>YEAR(Daily_KPI[[#This Row],[Date]])</f>
        <v>2025</v>
      </c>
      <c r="D3" s="228">
        <f>Daily_KPI[[#This Row],[Date]]-DAY(Daily_KPI[[#This Row],[Date]])+1</f>
        <v>45717</v>
      </c>
      <c r="E3" s="6">
        <f t="shared" si="0"/>
        <v>31</v>
      </c>
      <c r="F3" s="229">
        <f>IFERROR(_xlfn.XLOOKUP($A3,'Raw Data'!$A:$A,'Raw Data'!$BR:$BR),"")</f>
        <v>11.549999999999999</v>
      </c>
      <c r="G3" s="230">
        <f>IFERROR(_xlfn.XLOOKUP($A3,'Raw Data'!$A:$A,'Raw Data'!$AO:$AO),"")</f>
        <v>0</v>
      </c>
      <c r="H3" s="230"/>
      <c r="I3" s="230">
        <f>IFERROR(_xlfn.XLOOKUP($A3,'Raw Data'!$A:$A,'Raw Data'!$AR:$AR),"")</f>
        <v>5.1168364909390442</v>
      </c>
      <c r="J3" s="230"/>
      <c r="K3" s="230">
        <f>IFERROR(_xlfn.XLOOKUP($A3,'Raw Data'!$A:$A,'Raw Data'!$AV:$AV),"")</f>
        <v>0</v>
      </c>
      <c r="L3" s="230">
        <f>IFERROR(_xlfn.XLOOKUP($A3,'Raw Data'!$A:$A,'Raw Data'!$AW:$AW),"")</f>
        <v>0</v>
      </c>
      <c r="M3" s="230">
        <f>IFERROR(_xlfn.XLOOKUP($A3,'Raw Data'!$A:$A,'Raw Data'!$AX:$AX),"")</f>
        <v>0</v>
      </c>
      <c r="N3" s="230">
        <f>IFERROR(_xlfn.XLOOKUP($A3,'Raw Data'!$A:$A,'Raw Data'!$AY:$AY),"")</f>
        <v>0</v>
      </c>
      <c r="O3" s="231">
        <f>IFERROR(1-(SUMIF('Plant BD'!$B:$B,A3,'Plant BD'!$AE:$AE)/(AA3+SUMIF('Plant BD'!$B:$B,A3,'Plant BD'!$AE:$AE))),"")</f>
        <v>1</v>
      </c>
      <c r="P3" s="231"/>
      <c r="Q3" s="232"/>
      <c r="R3" s="231">
        <f>IFERROR(1-(SUMIF('Grid BD'!$B:$B,$A3,'Grid BD'!$AD:$AD)/($AA3+SUMIF('Grid BD'!$B:$B,$A3,'Grid BD'!AD:AD))),"")</f>
        <v>1</v>
      </c>
      <c r="S3" s="6"/>
      <c r="T3" s="232"/>
      <c r="U3" s="233">
        <f t="shared" si="1"/>
        <v>0.73891663531825558</v>
      </c>
      <c r="V3" s="233"/>
      <c r="W3" s="234">
        <f t="shared" si="2"/>
        <v>0.15753815013993117</v>
      </c>
      <c r="X3" s="227">
        <f>IFERROR(_xlfn.XLOOKUP($A3,'Raw Data'!$A:$A,'Raw Data'!$BA:$BA),"")</f>
        <v>93388</v>
      </c>
      <c r="Y3" s="227">
        <f>IFERROR(_xlfn.XLOOKUP($A3,'Raw Data'!$A:$A,'Raw Data'!BJ:BJ),"")</f>
        <v>92817.679999978282</v>
      </c>
      <c r="Z3" s="227">
        <f>IFERROR(_xlfn.XLOOKUP($A3,'Raw Data'!$A:$A,'Raw Data'!BK:BK),"")</f>
        <v>929.71</v>
      </c>
      <c r="AA3" s="227">
        <f>IFERROR(_xlfn.XLOOKUP($A3,'Raw Data'!$A:$A,'Raw Data'!BL:BL),"")</f>
        <v>91887.969999978275</v>
      </c>
      <c r="AB3" s="227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27">
        <f>IFERROR(_xlfn.XLOOKUP($D3,'Modelling New'!$D:$D,'Modelling New'!$T:$T)*1000,"")</f>
        <v>129014.28979703547</v>
      </c>
      <c r="AE3" s="234">
        <f>IFERROR(_xlfn.XLOOKUP($D3,'Modelling New'!$D:$D,'Modelling New'!$O:$O),"")</f>
        <v>0.76935547971207985</v>
      </c>
      <c r="AF3" s="234">
        <f>IFERROR(_xlfn.XLOOKUP($D3,'Modelling New'!$D:$D,'Modelling New'!$W:$W),"")</f>
        <v>0.22118970041722297</v>
      </c>
      <c r="AG3" s="234">
        <f>IFERROR(_xlfn.XLOOKUP($D3,'Modelling New'!$D:$D,'Modelling New'!AE:AE),"")</f>
        <v>0.995</v>
      </c>
      <c r="AH3" s="234">
        <v>0.99750000000000005</v>
      </c>
      <c r="AI3" s="6"/>
      <c r="AJ3" s="6"/>
      <c r="AK3" s="6"/>
      <c r="AL3" s="6"/>
      <c r="AM3" s="6"/>
      <c r="AN3" s="231"/>
      <c r="AO3" s="234"/>
      <c r="AP3" s="234"/>
      <c r="AQ3" s="234"/>
      <c r="AR3" s="227">
        <f>IFERROR(_xlfn.XLOOKUP($D3,'Modelling New'!$D:$D,'Modelling New'!$N:$N),"")</f>
        <v>24.303100000000001</v>
      </c>
      <c r="AS3" s="227"/>
    </row>
    <row r="4" spans="1:45" x14ac:dyDescent="0.35">
      <c r="A4" s="226">
        <f t="shared" si="3"/>
        <v>45747</v>
      </c>
      <c r="B4" s="227">
        <f>YEAR(Daily_KPI[[#This Row],[Date]])+IF(MONTH(Daily_KPI[[#This Row],[Date]])&gt;=4,1,0)</f>
        <v>2025</v>
      </c>
      <c r="C4" s="6">
        <f>YEAR(Daily_KPI[[#This Row],[Date]])</f>
        <v>2025</v>
      </c>
      <c r="D4" s="228">
        <f>Daily_KPI[[#This Row],[Date]]-DAY(Daily_KPI[[#This Row],[Date]])+1</f>
        <v>45717</v>
      </c>
      <c r="E4" s="6">
        <f t="shared" si="0"/>
        <v>31</v>
      </c>
      <c r="F4" s="229">
        <f>IFERROR(_xlfn.XLOOKUP($A4,'Raw Data'!$A:$A,'Raw Data'!$BR:$BR),"")</f>
        <v>10.799999999999999</v>
      </c>
      <c r="G4" s="230">
        <f>IFERROR(_xlfn.XLOOKUP($A4,'Raw Data'!$A:$A,'Raw Data'!$AO:$AO),"")</f>
        <v>0</v>
      </c>
      <c r="H4" s="230"/>
      <c r="I4" s="230">
        <f>IFERROR(_xlfn.XLOOKUP($A4,'Raw Data'!$A:$A,'Raw Data'!$AR:$AR),"")</f>
        <v>4.7331787479406913</v>
      </c>
      <c r="J4" s="230"/>
      <c r="K4" s="230">
        <f>IFERROR(_xlfn.XLOOKUP($A4,'Raw Data'!$A:$A,'Raw Data'!$AV:$AV),"")</f>
        <v>0</v>
      </c>
      <c r="L4" s="230">
        <f>IFERROR(_xlfn.XLOOKUP($A4,'Raw Data'!$A:$A,'Raw Data'!$AW:$AW),"")</f>
        <v>0</v>
      </c>
      <c r="M4" s="230">
        <f>IFERROR(_xlfn.XLOOKUP($A4,'Raw Data'!$A:$A,'Raw Data'!$AX:$AX),"")</f>
        <v>0</v>
      </c>
      <c r="N4" s="230">
        <f>IFERROR(_xlfn.XLOOKUP($A4,'Raw Data'!$A:$A,'Raw Data'!$AY:$AY),"")</f>
        <v>0</v>
      </c>
      <c r="O4" s="231">
        <f>IFERROR(1-(SUMIF('Plant BD'!$B:$B,A4,'Plant BD'!$AE:$AE)/(AA4+SUMIF('Plant BD'!$B:$B,A4,'Plant BD'!$AE:$AE))),"")</f>
        <v>1</v>
      </c>
      <c r="P4" s="231"/>
      <c r="Q4" s="232"/>
      <c r="R4" s="231">
        <f>IFERROR(1-(SUMIF('Grid BD'!$B:$B,$A4,'Grid BD'!$AD:$AD)/($AA4+SUMIF('Grid BD'!$B:$B,$A4,'Grid BD'!AD:AD))),"")</f>
        <v>1</v>
      </c>
      <c r="S4" s="6"/>
      <c r="T4" s="232"/>
      <c r="U4" s="233">
        <f t="shared" si="1"/>
        <v>0.75533232888385071</v>
      </c>
      <c r="V4" s="233"/>
      <c r="W4" s="234">
        <f t="shared" si="2"/>
        <v>0.14896345527939961</v>
      </c>
      <c r="X4" s="227">
        <f>IFERROR(_xlfn.XLOOKUP($A4,'Raw Data'!$A:$A,'Raw Data'!$BA:$BA),"")</f>
        <v>88492</v>
      </c>
      <c r="Y4" s="227">
        <f>IFERROR(_xlfn.XLOOKUP($A4,'Raw Data'!$A:$A,'Raw Data'!BJ:BJ),"")</f>
        <v>87966.570000018692</v>
      </c>
      <c r="Z4" s="227">
        <f>IFERROR(_xlfn.XLOOKUP($A4,'Raw Data'!$A:$A,'Raw Data'!BK:BK),"")</f>
        <v>1080.0000000000409</v>
      </c>
      <c r="AA4" s="227">
        <f>IFERROR(_xlfn.XLOOKUP($A4,'Raw Data'!$A:$A,'Raw Data'!BL:BL),"")</f>
        <v>86886.570000018648</v>
      </c>
      <c r="AB4" s="227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27">
        <f>IFERROR(_xlfn.XLOOKUP($D4,'Modelling New'!$D:$D,'Modelling New'!$T:$T)*1000,"")</f>
        <v>129014.28979703547</v>
      </c>
      <c r="AE4" s="234">
        <f>IFERROR(_xlfn.XLOOKUP($D4,'Modelling New'!$D:$D,'Modelling New'!$O:$O),"")</f>
        <v>0.76935547971207985</v>
      </c>
      <c r="AF4" s="234">
        <f>IFERROR(_xlfn.XLOOKUP($D4,'Modelling New'!$D:$D,'Modelling New'!$W:$W),"")</f>
        <v>0.22118970041722297</v>
      </c>
      <c r="AG4" s="234">
        <f>IFERROR(_xlfn.XLOOKUP($D4,'Modelling New'!$D:$D,'Modelling New'!AE:AE),"")</f>
        <v>0.995</v>
      </c>
      <c r="AH4" s="234">
        <v>0.99750000000000005</v>
      </c>
      <c r="AI4" s="6"/>
      <c r="AJ4" s="6"/>
      <c r="AK4" s="6"/>
      <c r="AL4" s="6"/>
      <c r="AM4" s="6"/>
      <c r="AN4" s="231"/>
      <c r="AO4" s="234"/>
      <c r="AP4" s="234"/>
      <c r="AQ4" s="234"/>
      <c r="AR4" s="227">
        <f>IFERROR(_xlfn.XLOOKUP($D4,'Modelling New'!$D:$D,'Modelling New'!$N:$N),"")</f>
        <v>24.303100000000001</v>
      </c>
      <c r="AS4" s="227"/>
    </row>
    <row r="5" spans="1:45" x14ac:dyDescent="0.35">
      <c r="A5" s="226">
        <f t="shared" si="3"/>
        <v>45748</v>
      </c>
      <c r="B5" s="227">
        <f>YEAR(Daily_KPI[[#This Row],[Date]])+IF(MONTH(Daily_KPI[[#This Row],[Date]])&gt;=4,1,0)</f>
        <v>2026</v>
      </c>
      <c r="C5" s="6">
        <f>YEAR(Daily_KPI[[#This Row],[Date]])</f>
        <v>2025</v>
      </c>
      <c r="D5" s="228">
        <f>Daily_KPI[[#This Row],[Date]]-DAY(Daily_KPI[[#This Row],[Date]])+1</f>
        <v>45748</v>
      </c>
      <c r="E5" s="6">
        <f t="shared" si="0"/>
        <v>30</v>
      </c>
      <c r="F5" s="229">
        <f>IFERROR(_xlfn.XLOOKUP($A5,'Raw Data'!$A:$A,'Raw Data'!$BR:$BR),"")</f>
        <v>10.766666666666666</v>
      </c>
      <c r="G5" s="230">
        <f>IFERROR(_xlfn.XLOOKUP($A5,'Raw Data'!$A:$A,'Raw Data'!$AO:$AO),"")</f>
        <v>0</v>
      </c>
      <c r="H5" s="230"/>
      <c r="I5" s="230">
        <f>IFERROR(_xlfn.XLOOKUP($A5,'Raw Data'!$A:$A,'Raw Data'!$AR:$AR),"")</f>
        <v>2.8415893739703457</v>
      </c>
      <c r="J5" s="230"/>
      <c r="K5" s="230">
        <f>IFERROR(_xlfn.XLOOKUP($A5,'Raw Data'!$A:$A,'Raw Data'!$AV:$AV),"")</f>
        <v>0</v>
      </c>
      <c r="L5" s="230">
        <f>IFERROR(_xlfn.XLOOKUP($A5,'Raw Data'!$A:$A,'Raw Data'!$AW:$AW),"")</f>
        <v>0</v>
      </c>
      <c r="M5" s="230">
        <f>IFERROR(_xlfn.XLOOKUP($A5,'Raw Data'!$A:$A,'Raw Data'!$AX:$AX),"")</f>
        <v>0</v>
      </c>
      <c r="N5" s="230">
        <f>IFERROR(_xlfn.XLOOKUP($A5,'Raw Data'!$A:$A,'Raw Data'!$AY:$AY),"")</f>
        <v>0</v>
      </c>
      <c r="O5" s="231">
        <f>IFERROR(1-(SUMIF('Plant BD'!$B:$B,A5,'Plant BD'!$AE:$AE)/(AA5+SUMIF('Plant BD'!$B:$B,A5,'Plant BD'!$AE:$AE))),"")</f>
        <v>1</v>
      </c>
      <c r="P5" s="231"/>
      <c r="Q5" s="232"/>
      <c r="R5" s="231">
        <f>IFERROR(1-(SUMIF('Grid BD'!$B:$B,$A5,'Grid BD'!$AD:$AD)/($AA5+SUMIF('Grid BD'!$B:$B,$A5,'Grid BD'!AD:AD))),"")</f>
        <v>1</v>
      </c>
      <c r="S5" s="6"/>
      <c r="T5" s="232"/>
      <c r="U5" s="233">
        <f t="shared" si="1"/>
        <v>0.98076612128432272</v>
      </c>
      <c r="V5" s="233"/>
      <c r="W5" s="234">
        <f t="shared" si="2"/>
        <v>0.11612227452465178</v>
      </c>
      <c r="X5" s="227">
        <f>IFERROR(_xlfn.XLOOKUP($A5,'Raw Data'!$A:$A,'Raw Data'!$BA:$BA),"")</f>
        <v>69057</v>
      </c>
      <c r="Y5" s="227">
        <f>IFERROR(_xlfn.XLOOKUP($A5,'Raw Data'!$A:$A,'Raw Data'!BJ:BJ),"")</f>
        <v>68717.680000001565</v>
      </c>
      <c r="Z5" s="227">
        <f>IFERROR(_xlfn.XLOOKUP($A5,'Raw Data'!$A:$A,'Raw Data'!BK:BK),"")</f>
        <v>986.53000000001612</v>
      </c>
      <c r="AA5" s="227">
        <f>IFERROR(_xlfn.XLOOKUP($A5,'Raw Data'!$A:$A,'Raw Data'!BL:BL),"")</f>
        <v>67731.150000001551</v>
      </c>
      <c r="AB5" s="227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27">
        <f>IFERROR(_xlfn.XLOOKUP($D5,'Modelling New'!$D:$D,'Modelling New'!$T:$T)*1000,"")</f>
        <v>120499.94015769019</v>
      </c>
      <c r="AE5" s="234">
        <f>IFERROR(_xlfn.XLOOKUP($D5,'Modelling New'!$D:$D,'Modelling New'!$O:$O),"")</f>
        <v>0.74859779740027077</v>
      </c>
      <c r="AF5" s="234">
        <f>IFERROR(_xlfn.XLOOKUP($D5,'Modelling New'!$D:$D,'Modelling New'!$W:$W),"")</f>
        <v>0.20659219769921358</v>
      </c>
      <c r="AG5" s="234">
        <f>IFERROR(_xlfn.XLOOKUP($D5,'Modelling New'!$D:$D,'Modelling New'!AE:AE),"")</f>
        <v>0.995</v>
      </c>
      <c r="AH5" s="234">
        <v>0.99750000000000005</v>
      </c>
      <c r="AI5" s="6"/>
      <c r="AJ5" s="6"/>
      <c r="AK5" s="6"/>
      <c r="AL5" s="6"/>
      <c r="AM5" s="6"/>
      <c r="AN5" s="231"/>
      <c r="AO5" s="234"/>
      <c r="AP5" s="234"/>
      <c r="AQ5" s="234"/>
      <c r="AR5" s="227">
        <f>IFERROR(_xlfn.XLOOKUP($D5,'Modelling New'!$D:$D,'Modelling New'!$N:$N),"")</f>
        <v>24.303100000000001</v>
      </c>
      <c r="AS5" s="227"/>
    </row>
    <row r="6" spans="1:45" x14ac:dyDescent="0.35">
      <c r="A6" s="226">
        <f t="shared" si="3"/>
        <v>45749</v>
      </c>
      <c r="B6" s="227">
        <f>YEAR(Daily_KPI[[#This Row],[Date]])+IF(MONTH(Daily_KPI[[#This Row],[Date]])&gt;=4,1,0)</f>
        <v>2026</v>
      </c>
      <c r="C6" s="6">
        <f>YEAR(Daily_KPI[[#This Row],[Date]])</f>
        <v>2025</v>
      </c>
      <c r="D6" s="228">
        <f>Daily_KPI[[#This Row],[Date]]-DAY(Daily_KPI[[#This Row],[Date]])+1</f>
        <v>45748</v>
      </c>
      <c r="E6" s="6">
        <f t="shared" si="0"/>
        <v>30</v>
      </c>
      <c r="F6" s="229">
        <f>IFERROR(_xlfn.XLOOKUP($A6,'Raw Data'!$A:$A,'Raw Data'!$BR:$BR),"")</f>
        <v>10.95</v>
      </c>
      <c r="G6" s="230">
        <f>IFERROR(_xlfn.XLOOKUP($A6,'Raw Data'!$A:$A,'Raw Data'!$AO:$AO),"")</f>
        <v>0</v>
      </c>
      <c r="H6" s="230"/>
      <c r="I6" s="230">
        <f>IFERROR(_xlfn.XLOOKUP($A6,'Raw Data'!$A:$A,'Raw Data'!$AR:$AR),"")</f>
        <v>2.7152775947281711</v>
      </c>
      <c r="J6" s="230"/>
      <c r="K6" s="230">
        <f>IFERROR(_xlfn.XLOOKUP($A6,'Raw Data'!$A:$A,'Raw Data'!$AV:$AV),"")</f>
        <v>0</v>
      </c>
      <c r="L6" s="230">
        <f>IFERROR(_xlfn.XLOOKUP($A6,'Raw Data'!$A:$A,'Raw Data'!$AW:$AW),"")</f>
        <v>0</v>
      </c>
      <c r="M6" s="230">
        <f>IFERROR(_xlfn.XLOOKUP($A6,'Raw Data'!$A:$A,'Raw Data'!$AX:$AX),"")</f>
        <v>0</v>
      </c>
      <c r="N6" s="230">
        <f>IFERROR(_xlfn.XLOOKUP($A6,'Raw Data'!$A:$A,'Raw Data'!$AY:$AY),"")</f>
        <v>0</v>
      </c>
      <c r="O6" s="231">
        <f>IFERROR(1-(SUMIF('Plant BD'!$B:$B,A6,'Plant BD'!$AE:$AE)/(AA6+SUMIF('Plant BD'!$B:$B,A6,'Plant BD'!$AE:$AE))),"")</f>
        <v>1</v>
      </c>
      <c r="P6" s="231"/>
      <c r="Q6" s="232"/>
      <c r="R6" s="231">
        <f>IFERROR(1-(SUMIF('Grid BD'!$B:$B,$A6,'Grid BD'!$AD:$AD)/($AA6+SUMIF('Grid BD'!$B:$B,$A6,'Grid BD'!AD:AD))),"")</f>
        <v>1</v>
      </c>
      <c r="S6" s="6"/>
      <c r="T6" s="232"/>
      <c r="U6" s="233">
        <f t="shared" si="1"/>
        <v>0.76670265867439791</v>
      </c>
      <c r="V6" s="233"/>
      <c r="W6" s="234">
        <f t="shared" si="2"/>
        <v>8.6742106288213022E-2</v>
      </c>
      <c r="X6" s="227">
        <f>IFERROR(_xlfn.XLOOKUP($A6,'Raw Data'!$A:$A,'Raw Data'!$BA:$BA),"")</f>
        <v>51978</v>
      </c>
      <c r="Y6" s="227">
        <f>IFERROR(_xlfn.XLOOKUP($A6,'Raw Data'!$A:$A,'Raw Data'!BJ:BJ),"")</f>
        <v>51509.179999993648</v>
      </c>
      <c r="Z6" s="227">
        <f>IFERROR(_xlfn.XLOOKUP($A6,'Raw Data'!$A:$A,'Raw Data'!BK:BK),"")</f>
        <v>914.72999999996318</v>
      </c>
      <c r="AA6" s="227">
        <f>IFERROR(_xlfn.XLOOKUP($A6,'Raw Data'!$A:$A,'Raw Data'!BL:BL),"")</f>
        <v>50594.449999993682</v>
      </c>
      <c r="AB6" s="227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27">
        <f>IFERROR(_xlfn.XLOOKUP($D6,'Modelling New'!$D:$D,'Modelling New'!$T:$T)*1000,"")</f>
        <v>120499.94015769019</v>
      </c>
      <c r="AE6" s="234">
        <f>IFERROR(_xlfn.XLOOKUP($D6,'Modelling New'!$D:$D,'Modelling New'!$O:$O),"")</f>
        <v>0.74859779740027077</v>
      </c>
      <c r="AF6" s="234">
        <f>IFERROR(_xlfn.XLOOKUP($D6,'Modelling New'!$D:$D,'Modelling New'!$W:$W),"")</f>
        <v>0.20659219769921358</v>
      </c>
      <c r="AG6" s="234">
        <f>IFERROR(_xlfn.XLOOKUP($D6,'Modelling New'!$D:$D,'Modelling New'!AE:AE),"")</f>
        <v>0.995</v>
      </c>
      <c r="AH6" s="234">
        <v>0.99750000000000005</v>
      </c>
      <c r="AI6" s="6"/>
      <c r="AJ6" s="6"/>
      <c r="AK6" s="6"/>
      <c r="AL6" s="6"/>
      <c r="AM6" s="6"/>
      <c r="AN6" s="231"/>
      <c r="AO6" s="234"/>
      <c r="AP6" s="234"/>
      <c r="AQ6" s="234"/>
      <c r="AR6" s="227">
        <f>IFERROR(_xlfn.XLOOKUP($D6,'Modelling New'!$D:$D,'Modelling New'!$N:$N),"")</f>
        <v>24.303100000000001</v>
      </c>
      <c r="AS6" s="227"/>
    </row>
    <row r="7" spans="1:45" x14ac:dyDescent="0.35">
      <c r="A7" s="226">
        <f t="shared" si="3"/>
        <v>45750</v>
      </c>
      <c r="B7" s="227">
        <f>YEAR(Daily_KPI[[#This Row],[Date]])+IF(MONTH(Daily_KPI[[#This Row],[Date]])&gt;=4,1,0)</f>
        <v>2026</v>
      </c>
      <c r="C7" s="6">
        <f>YEAR(Daily_KPI[[#This Row],[Date]])</f>
        <v>2025</v>
      </c>
      <c r="D7" s="228">
        <f>Daily_KPI[[#This Row],[Date]]-DAY(Daily_KPI[[#This Row],[Date]])+1</f>
        <v>45748</v>
      </c>
      <c r="E7" s="6">
        <f t="shared" si="0"/>
        <v>30</v>
      </c>
      <c r="F7" s="229">
        <f>IFERROR(_xlfn.XLOOKUP($A7,'Raw Data'!$A:$A,'Raw Data'!$BR:$BR),"")</f>
        <v>11.483333333333333</v>
      </c>
      <c r="G7" s="230">
        <f>IFERROR(_xlfn.XLOOKUP($A7,'Raw Data'!$A:$A,'Raw Data'!$AO:$AO),"")</f>
        <v>0</v>
      </c>
      <c r="H7" s="230"/>
      <c r="I7" s="230">
        <f>IFERROR(_xlfn.XLOOKUP($A7,'Raw Data'!$A:$A,'Raw Data'!$AR:$AR),"")</f>
        <v>6.1</v>
      </c>
      <c r="J7" s="230"/>
      <c r="K7" s="230">
        <f>IFERROR(_xlfn.XLOOKUP($A7,'Raw Data'!$A:$A,'Raw Data'!$AV:$AV),"")</f>
        <v>0</v>
      </c>
      <c r="L7" s="230">
        <f>IFERROR(_xlfn.XLOOKUP($A7,'Raw Data'!$A:$A,'Raw Data'!$AW:$AW),"")</f>
        <v>0</v>
      </c>
      <c r="M7" s="230">
        <f>IFERROR(_xlfn.XLOOKUP($A7,'Raw Data'!$A:$A,'Raw Data'!$AX:$AX),"")</f>
        <v>0</v>
      </c>
      <c r="N7" s="230">
        <f>IFERROR(_xlfn.XLOOKUP($A7,'Raw Data'!$A:$A,'Raw Data'!$AY:$AY),"")</f>
        <v>0</v>
      </c>
      <c r="O7" s="231">
        <f>IFERROR(1-(SUMIF('Plant BD'!$B:$B,A7,'Plant BD'!$AE:$AE)/(AA7+SUMIF('Plant BD'!$B:$B,A7,'Plant BD'!$AE:$AE))),"")</f>
        <v>1</v>
      </c>
      <c r="P7" s="231"/>
      <c r="Q7" s="232"/>
      <c r="R7" s="231">
        <f>IFERROR(1-(SUMIF('Grid BD'!$B:$B,$A7,'Grid BD'!$AD:$AD)/($AA7+SUMIF('Grid BD'!$B:$B,$A7,'Grid BD'!AD:AD))),"")</f>
        <v>1</v>
      </c>
      <c r="S7" s="6"/>
      <c r="T7" s="232"/>
      <c r="U7" s="233">
        <f t="shared" si="1"/>
        <v>0.75662755294448791</v>
      </c>
      <c r="V7" s="233"/>
      <c r="W7" s="234">
        <f t="shared" si="2"/>
        <v>0.19230950304005734</v>
      </c>
      <c r="X7" s="227">
        <f>IFERROR(_xlfn.XLOOKUP($A7,'Raw Data'!$A:$A,'Raw Data'!$BA:$BA),"")</f>
        <v>113949.2</v>
      </c>
      <c r="Y7" s="227">
        <f>IFERROR(_xlfn.XLOOKUP($A7,'Raw Data'!$A:$A,'Raw Data'!BJ:BJ),"")</f>
        <v>112987.23999998765</v>
      </c>
      <c r="Z7" s="227">
        <f>IFERROR(_xlfn.XLOOKUP($A7,'Raw Data'!$A:$A,'Raw Data'!BK:BK),"")</f>
        <v>818.03000000002157</v>
      </c>
      <c r="AA7" s="227">
        <f>IFERROR(_xlfn.XLOOKUP($A7,'Raw Data'!$A:$A,'Raw Data'!BL:BL),"")</f>
        <v>112169.20999998762</v>
      </c>
      <c r="AB7" s="227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27">
        <f>IFERROR(_xlfn.XLOOKUP($D7,'Modelling New'!$D:$D,'Modelling New'!$T:$T)*1000,"")</f>
        <v>120499.94015769019</v>
      </c>
      <c r="AE7" s="234">
        <f>IFERROR(_xlfn.XLOOKUP($D7,'Modelling New'!$D:$D,'Modelling New'!$O:$O),"")</f>
        <v>0.74859779740027077</v>
      </c>
      <c r="AF7" s="234">
        <f>IFERROR(_xlfn.XLOOKUP($D7,'Modelling New'!$D:$D,'Modelling New'!$W:$W),"")</f>
        <v>0.20659219769921358</v>
      </c>
      <c r="AG7" s="234">
        <f>IFERROR(_xlfn.XLOOKUP($D7,'Modelling New'!$D:$D,'Modelling New'!AE:AE),"")</f>
        <v>0.995</v>
      </c>
      <c r="AH7" s="234">
        <v>0.99750000000000005</v>
      </c>
      <c r="AI7" s="6"/>
      <c r="AJ7" s="6"/>
      <c r="AK7" s="6"/>
      <c r="AL7" s="6"/>
      <c r="AM7" s="6"/>
      <c r="AN7" s="231"/>
      <c r="AO7" s="234"/>
      <c r="AP7" s="234"/>
      <c r="AQ7" s="234"/>
      <c r="AR7" s="227">
        <f>IFERROR(_xlfn.XLOOKUP($D7,'Modelling New'!$D:$D,'Modelling New'!$N:$N),"")</f>
        <v>24.303100000000001</v>
      </c>
      <c r="AS7" s="227"/>
    </row>
    <row r="8" spans="1:45" x14ac:dyDescent="0.35">
      <c r="A8" s="226">
        <f t="shared" si="3"/>
        <v>45751</v>
      </c>
      <c r="B8" s="227">
        <f>YEAR(Daily_KPI[[#This Row],[Date]])+IF(MONTH(Daily_KPI[[#This Row],[Date]])&gt;=4,1,0)</f>
        <v>2026</v>
      </c>
      <c r="C8" s="6">
        <f>YEAR(Daily_KPI[[#This Row],[Date]])</f>
        <v>2025</v>
      </c>
      <c r="D8" s="228">
        <f>Daily_KPI[[#This Row],[Date]]-DAY(Daily_KPI[[#This Row],[Date]])+1</f>
        <v>45748</v>
      </c>
      <c r="E8" s="6">
        <f t="shared" si="0"/>
        <v>30</v>
      </c>
      <c r="F8" s="229">
        <f>IFERROR(_xlfn.XLOOKUP($A8,'Raw Data'!$A:$A,'Raw Data'!$BR:$BR),"")</f>
        <v>11.766666666666667</v>
      </c>
      <c r="G8" s="230">
        <f>IFERROR(_xlfn.XLOOKUP($A8,'Raw Data'!$A:$A,'Raw Data'!$AO:$AO),"")</f>
        <v>0</v>
      </c>
      <c r="H8" s="230"/>
      <c r="I8" s="230">
        <f>IFERROR(_xlfn.XLOOKUP($A8,'Raw Data'!$A:$A,'Raw Data'!$AR:$AR),"")</f>
        <v>6.63895057660626</v>
      </c>
      <c r="J8" s="230"/>
      <c r="K8" s="230">
        <f>IFERROR(_xlfn.XLOOKUP($A8,'Raw Data'!$A:$A,'Raw Data'!$AV:$AV),"")</f>
        <v>0</v>
      </c>
      <c r="L8" s="230">
        <f>IFERROR(_xlfn.XLOOKUP($A8,'Raw Data'!$A:$A,'Raw Data'!$AW:$AW),"")</f>
        <v>0</v>
      </c>
      <c r="M8" s="230">
        <f>IFERROR(_xlfn.XLOOKUP($A8,'Raw Data'!$A:$A,'Raw Data'!$AX:$AX),"")</f>
        <v>0</v>
      </c>
      <c r="N8" s="230">
        <f>IFERROR(_xlfn.XLOOKUP($A8,'Raw Data'!$A:$A,'Raw Data'!$AY:$AY),"")</f>
        <v>0</v>
      </c>
      <c r="O8" s="231">
        <f>IFERROR(1-(SUMIF('Plant BD'!$B:$B,A8,'Plant BD'!$AE:$AE)/(AA8+SUMIF('Plant BD'!$B:$B,A8,'Plant BD'!$AE:$AE))),"")</f>
        <v>1</v>
      </c>
      <c r="P8" s="231"/>
      <c r="Q8" s="232"/>
      <c r="R8" s="231">
        <f>IFERROR(1-(SUMIF('Grid BD'!$B:$B,$A8,'Grid BD'!$AD:$AD)/($AA8+SUMIF('Grid BD'!$B:$B,$A8,'Grid BD'!AD:AD))),"")</f>
        <v>1</v>
      </c>
      <c r="S8" s="6"/>
      <c r="T8" s="232"/>
      <c r="U8" s="233">
        <f t="shared" si="1"/>
        <v>0.76827544809419557</v>
      </c>
      <c r="V8" s="233"/>
      <c r="W8" s="234">
        <f t="shared" si="2"/>
        <v>0.2125226137132247</v>
      </c>
      <c r="X8" s="227">
        <f>IFERROR(_xlfn.XLOOKUP($A8,'Raw Data'!$A:$A,'Raw Data'!$BA:$BA),"")</f>
        <v>126119.5</v>
      </c>
      <c r="Y8" s="227">
        <f>IFERROR(_xlfn.XLOOKUP($A8,'Raw Data'!$A:$A,'Raw Data'!BJ:BJ),"")</f>
        <v>124940.59000001289</v>
      </c>
      <c r="Z8" s="227">
        <f>IFERROR(_xlfn.XLOOKUP($A8,'Raw Data'!$A:$A,'Raw Data'!BK:BK),"")</f>
        <v>981.58999999998287</v>
      </c>
      <c r="AA8" s="227">
        <f>IFERROR(_xlfn.XLOOKUP($A8,'Raw Data'!$A:$A,'Raw Data'!BL:BL),"")</f>
        <v>123959.00000001291</v>
      </c>
      <c r="AB8" s="227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27">
        <f>IFERROR(_xlfn.XLOOKUP($D8,'Modelling New'!$D:$D,'Modelling New'!$T:$T)*1000,"")</f>
        <v>120499.94015769019</v>
      </c>
      <c r="AE8" s="234">
        <f>IFERROR(_xlfn.XLOOKUP($D8,'Modelling New'!$D:$D,'Modelling New'!$O:$O),"")</f>
        <v>0.74859779740027077</v>
      </c>
      <c r="AF8" s="234">
        <f>IFERROR(_xlfn.XLOOKUP($D8,'Modelling New'!$D:$D,'Modelling New'!$W:$W),"")</f>
        <v>0.20659219769921358</v>
      </c>
      <c r="AG8" s="234">
        <f>IFERROR(_xlfn.XLOOKUP($D8,'Modelling New'!$D:$D,'Modelling New'!AE:AE),"")</f>
        <v>0.995</v>
      </c>
      <c r="AH8" s="234">
        <v>0.99750000000000005</v>
      </c>
      <c r="AI8" s="6"/>
      <c r="AJ8" s="6"/>
      <c r="AK8" s="6"/>
      <c r="AL8" s="6"/>
      <c r="AM8" s="6"/>
      <c r="AN8" s="231"/>
      <c r="AO8" s="234"/>
      <c r="AP8" s="234"/>
      <c r="AQ8" s="234"/>
      <c r="AR8" s="227">
        <f>IFERROR(_xlfn.XLOOKUP($D8,'Modelling New'!$D:$D,'Modelling New'!$N:$N),"")</f>
        <v>24.303100000000001</v>
      </c>
      <c r="AS8" s="227"/>
    </row>
    <row r="9" spans="1:45" x14ac:dyDescent="0.35">
      <c r="A9" s="226">
        <f t="shared" si="3"/>
        <v>45752</v>
      </c>
      <c r="B9" s="227">
        <f>YEAR(Daily_KPI[[#This Row],[Date]])+IF(MONTH(Daily_KPI[[#This Row],[Date]])&gt;=4,1,0)</f>
        <v>2026</v>
      </c>
      <c r="C9" s="6">
        <f>YEAR(Daily_KPI[[#This Row],[Date]])</f>
        <v>2025</v>
      </c>
      <c r="D9" s="228">
        <f>Daily_KPI[[#This Row],[Date]]-DAY(Daily_KPI[[#This Row],[Date]])+1</f>
        <v>45748</v>
      </c>
      <c r="E9" s="6">
        <f t="shared" si="0"/>
        <v>30</v>
      </c>
      <c r="F9" s="229">
        <f>IFERROR(_xlfn.XLOOKUP($A9,'Raw Data'!$A:$A,'Raw Data'!$BR:$BR),"")</f>
        <v>11.749999999999998</v>
      </c>
      <c r="G9" s="230">
        <f>IFERROR(_xlfn.XLOOKUP($A9,'Raw Data'!$A:$A,'Raw Data'!$AO:$AO),"")</f>
        <v>0</v>
      </c>
      <c r="H9" s="230"/>
      <c r="I9" s="230">
        <f>IFERROR(_xlfn.XLOOKUP($A9,'Raw Data'!$A:$A,'Raw Data'!$AR:$AR),"")</f>
        <v>6.7642129324546953</v>
      </c>
      <c r="J9" s="230"/>
      <c r="K9" s="230">
        <f>IFERROR(_xlfn.XLOOKUP($A9,'Raw Data'!$A:$A,'Raw Data'!$AV:$AV),"")</f>
        <v>0</v>
      </c>
      <c r="L9" s="230">
        <f>IFERROR(_xlfn.XLOOKUP($A9,'Raw Data'!$A:$A,'Raw Data'!$AW:$AW),"")</f>
        <v>0</v>
      </c>
      <c r="M9" s="230">
        <f>IFERROR(_xlfn.XLOOKUP($A9,'Raw Data'!$A:$A,'Raw Data'!$AX:$AX),"")</f>
        <v>0</v>
      </c>
      <c r="N9" s="230">
        <f>IFERROR(_xlfn.XLOOKUP($A9,'Raw Data'!$A:$A,'Raw Data'!$AY:$AY),"")</f>
        <v>0</v>
      </c>
      <c r="O9" s="231">
        <f>IFERROR(1-(SUMIF('Plant BD'!$B:$B,A9,'Plant BD'!$AE:$AE)/(AA9+SUMIF('Plant BD'!$B:$B,A9,'Plant BD'!$AE:$AE))),"")</f>
        <v>1</v>
      </c>
      <c r="P9" s="231"/>
      <c r="Q9" s="232"/>
      <c r="R9" s="231">
        <f>IFERROR(1-(SUMIF('Grid BD'!$B:$B,$A9,'Grid BD'!$AD:$AD)/($AA9+SUMIF('Grid BD'!$B:$B,$A9,'Grid BD'!AD:AD))),"")</f>
        <v>1</v>
      </c>
      <c r="S9" s="6"/>
      <c r="T9" s="232"/>
      <c r="U9" s="233">
        <f t="shared" si="1"/>
        <v>0.75722229338213964</v>
      </c>
      <c r="V9" s="233"/>
      <c r="W9" s="234">
        <f t="shared" si="2"/>
        <v>0.21341720123493635</v>
      </c>
      <c r="X9" s="227">
        <f>IFERROR(_xlfn.XLOOKUP($A9,'Raw Data'!$A:$A,'Raw Data'!$BA:$BA),"")</f>
        <v>126571</v>
      </c>
      <c r="Y9" s="227">
        <f>IFERROR(_xlfn.XLOOKUP($A9,'Raw Data'!$A:$A,'Raw Data'!BJ:BJ),"")</f>
        <v>125301.06999998679</v>
      </c>
      <c r="Z9" s="227">
        <f>IFERROR(_xlfn.XLOOKUP($A9,'Raw Data'!$A:$A,'Raw Data'!BK:BK),"")</f>
        <v>820.28000000002521</v>
      </c>
      <c r="AA9" s="227">
        <f>IFERROR(_xlfn.XLOOKUP($A9,'Raw Data'!$A:$A,'Raw Data'!BL:BL),"")</f>
        <v>124480.78999998677</v>
      </c>
      <c r="AB9" s="227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27">
        <f>IFERROR(_xlfn.XLOOKUP($D9,'Modelling New'!$D:$D,'Modelling New'!$T:$T)*1000,"")</f>
        <v>120499.94015769019</v>
      </c>
      <c r="AE9" s="234">
        <f>IFERROR(_xlfn.XLOOKUP($D9,'Modelling New'!$D:$D,'Modelling New'!$O:$O),"")</f>
        <v>0.74859779740027077</v>
      </c>
      <c r="AF9" s="234">
        <f>IFERROR(_xlfn.XLOOKUP($D9,'Modelling New'!$D:$D,'Modelling New'!$W:$W),"")</f>
        <v>0.20659219769921358</v>
      </c>
      <c r="AG9" s="234">
        <f>IFERROR(_xlfn.XLOOKUP($D9,'Modelling New'!$D:$D,'Modelling New'!AE:AE),"")</f>
        <v>0.995</v>
      </c>
      <c r="AH9" s="234">
        <v>0.99750000000000005</v>
      </c>
      <c r="AI9" s="6"/>
      <c r="AJ9" s="6"/>
      <c r="AK9" s="6"/>
      <c r="AL9" s="6"/>
      <c r="AM9" s="6"/>
      <c r="AN9" s="231"/>
      <c r="AO9" s="234"/>
      <c r="AP9" s="234"/>
      <c r="AQ9" s="234"/>
      <c r="AR9" s="227">
        <f>IFERROR(_xlfn.XLOOKUP($D9,'Modelling New'!$D:$D,'Modelling New'!$N:$N),"")</f>
        <v>24.303100000000001</v>
      </c>
      <c r="AS9" s="227"/>
    </row>
    <row r="10" spans="1:45" x14ac:dyDescent="0.35">
      <c r="A10" s="226">
        <f t="shared" si="3"/>
        <v>45753</v>
      </c>
      <c r="B10" s="227">
        <f>YEAR(Daily_KPI[[#This Row],[Date]])+IF(MONTH(Daily_KPI[[#This Row],[Date]])&gt;=4,1,0)</f>
        <v>2026</v>
      </c>
      <c r="C10" s="6">
        <f>YEAR(Daily_KPI[[#This Row],[Date]])</f>
        <v>2025</v>
      </c>
      <c r="D10" s="228">
        <f>Daily_KPI[[#This Row],[Date]]-DAY(Daily_KPI[[#This Row],[Date]])+1</f>
        <v>45748</v>
      </c>
      <c r="E10" s="6">
        <f t="shared" si="0"/>
        <v>30</v>
      </c>
      <c r="F10" s="229">
        <f>IFERROR(_xlfn.XLOOKUP($A10,'Raw Data'!$A:$A,'Raw Data'!$BR:$BR),"")</f>
        <v>11.8</v>
      </c>
      <c r="G10" s="230">
        <f>IFERROR(_xlfn.XLOOKUP($A10,'Raw Data'!$A:$A,'Raw Data'!$AO:$AO),"")</f>
        <v>0</v>
      </c>
      <c r="H10" s="230"/>
      <c r="I10" s="230">
        <f>IFERROR(_xlfn.XLOOKUP($A10,'Raw Data'!$A:$A,'Raw Data'!$AR:$AR),"")</f>
        <v>6.9511528418451398</v>
      </c>
      <c r="J10" s="230"/>
      <c r="K10" s="230">
        <f>IFERROR(_xlfn.XLOOKUP($A10,'Raw Data'!$A:$A,'Raw Data'!$AV:$AV),"")</f>
        <v>0</v>
      </c>
      <c r="L10" s="230">
        <f>IFERROR(_xlfn.XLOOKUP($A10,'Raw Data'!$A:$A,'Raw Data'!$AW:$AW),"")</f>
        <v>0</v>
      </c>
      <c r="M10" s="230">
        <f>IFERROR(_xlfn.XLOOKUP($A10,'Raw Data'!$A:$A,'Raw Data'!$AX:$AX),"")</f>
        <v>0</v>
      </c>
      <c r="N10" s="230">
        <f>IFERROR(_xlfn.XLOOKUP($A10,'Raw Data'!$A:$A,'Raw Data'!$AY:$AY),"")</f>
        <v>0</v>
      </c>
      <c r="O10" s="231">
        <f>IFERROR(1-(SUMIF('Plant BD'!$B:$B,A10,'Plant BD'!$AE:$AE)/(AA10+SUMIF('Plant BD'!$B:$B,A10,'Plant BD'!$AE:$AE))),"")</f>
        <v>1</v>
      </c>
      <c r="P10" s="231"/>
      <c r="Q10" s="232"/>
      <c r="R10" s="231">
        <f>IFERROR(1-(SUMIF('Grid BD'!$B:$B,$A10,'Grid BD'!$AD:$AD)/($AA10+SUMIF('Grid BD'!$B:$B,$A10,'Grid BD'!AD:AD))),"")</f>
        <v>1</v>
      </c>
      <c r="S10" s="6"/>
      <c r="T10" s="232"/>
      <c r="U10" s="233">
        <f t="shared" si="1"/>
        <v>0.75143977658116035</v>
      </c>
      <c r="V10" s="233"/>
      <c r="W10" s="234">
        <f t="shared" si="2"/>
        <v>0.21764053076906706</v>
      </c>
      <c r="X10" s="227">
        <f>IFERROR(_xlfn.XLOOKUP($A10,'Raw Data'!$A:$A,'Raw Data'!$BA:$BA),"")</f>
        <v>129103</v>
      </c>
      <c r="Y10" s="227">
        <f>IFERROR(_xlfn.XLOOKUP($A10,'Raw Data'!$A:$A,'Raw Data'!BJ:BJ),"")</f>
        <v>127602.03000000911</v>
      </c>
      <c r="Z10" s="227">
        <f>IFERROR(_xlfn.XLOOKUP($A10,'Raw Data'!$A:$A,'Raw Data'!BK:BK),"")</f>
        <v>657.87999999997737</v>
      </c>
      <c r="AA10" s="227">
        <f>IFERROR(_xlfn.XLOOKUP($A10,'Raw Data'!$A:$A,'Raw Data'!BL:BL),"")</f>
        <v>126944.15000000913</v>
      </c>
      <c r="AB10" s="227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27">
        <f>IFERROR(_xlfn.XLOOKUP($D10,'Modelling New'!$D:$D,'Modelling New'!$T:$T)*1000,"")</f>
        <v>120499.94015769019</v>
      </c>
      <c r="AE10" s="234">
        <f>IFERROR(_xlfn.XLOOKUP($D10,'Modelling New'!$D:$D,'Modelling New'!$O:$O),"")</f>
        <v>0.74859779740027077</v>
      </c>
      <c r="AF10" s="234">
        <f>IFERROR(_xlfn.XLOOKUP($D10,'Modelling New'!$D:$D,'Modelling New'!$W:$W),"")</f>
        <v>0.20659219769921358</v>
      </c>
      <c r="AG10" s="234">
        <f>IFERROR(_xlfn.XLOOKUP($D10,'Modelling New'!$D:$D,'Modelling New'!AE:AE),"")</f>
        <v>0.995</v>
      </c>
      <c r="AH10" s="234">
        <v>0.99750000000000005</v>
      </c>
      <c r="AI10" s="6"/>
      <c r="AJ10" s="6"/>
      <c r="AK10" s="6"/>
      <c r="AL10" s="6"/>
      <c r="AM10" s="6"/>
      <c r="AN10" s="231"/>
      <c r="AO10" s="234"/>
      <c r="AP10" s="234"/>
      <c r="AQ10" s="234"/>
      <c r="AR10" s="227">
        <f>IFERROR(_xlfn.XLOOKUP($D10,'Modelling New'!$D:$D,'Modelling New'!$N:$N),"")</f>
        <v>24.303100000000001</v>
      </c>
      <c r="AS10" s="227"/>
    </row>
    <row r="11" spans="1:45" x14ac:dyDescent="0.35">
      <c r="A11" s="226">
        <f t="shared" si="3"/>
        <v>45754</v>
      </c>
      <c r="B11" s="227">
        <f>YEAR(Daily_KPI[[#This Row],[Date]])+IF(MONTH(Daily_KPI[[#This Row],[Date]])&gt;=4,1,0)</f>
        <v>2026</v>
      </c>
      <c r="C11" s="6">
        <f>YEAR(Daily_KPI[[#This Row],[Date]])</f>
        <v>2025</v>
      </c>
      <c r="D11" s="228">
        <f>Daily_KPI[[#This Row],[Date]]-DAY(Daily_KPI[[#This Row],[Date]])+1</f>
        <v>45748</v>
      </c>
      <c r="E11" s="6">
        <f t="shared" si="0"/>
        <v>30</v>
      </c>
      <c r="F11" s="229">
        <f>IFERROR(_xlfn.XLOOKUP($A11,'Raw Data'!$A:$A,'Raw Data'!$BR:$BR),"")</f>
        <v>11.883333333333333</v>
      </c>
      <c r="G11" s="230">
        <f>IFERROR(_xlfn.XLOOKUP($A11,'Raw Data'!$A:$A,'Raw Data'!$AO:$AO),"")</f>
        <v>0</v>
      </c>
      <c r="H11" s="230"/>
      <c r="I11" s="230">
        <f>IFERROR(_xlfn.XLOOKUP($A11,'Raw Data'!$A:$A,'Raw Data'!$AR:$AR),"")</f>
        <v>6.9981049423393742</v>
      </c>
      <c r="J11" s="230"/>
      <c r="K11" s="230">
        <f>IFERROR(_xlfn.XLOOKUP($A11,'Raw Data'!$A:$A,'Raw Data'!$AV:$AV),"")</f>
        <v>0</v>
      </c>
      <c r="L11" s="230">
        <f>IFERROR(_xlfn.XLOOKUP($A11,'Raw Data'!$A:$A,'Raw Data'!$AW:$AW),"")</f>
        <v>0</v>
      </c>
      <c r="M11" s="230">
        <f>IFERROR(_xlfn.XLOOKUP($A11,'Raw Data'!$A:$A,'Raw Data'!$AX:$AX),"")</f>
        <v>0</v>
      </c>
      <c r="N11" s="230">
        <f>IFERROR(_xlfn.XLOOKUP($A11,'Raw Data'!$A:$A,'Raw Data'!$AY:$AY),"")</f>
        <v>0</v>
      </c>
      <c r="O11" s="231">
        <f>IFERROR(1-(SUMIF('Plant BD'!$B:$B,A11,'Plant BD'!$AE:$AE)/(AA11+SUMIF('Plant BD'!$B:$B,A11,'Plant BD'!$AE:$AE))),"")</f>
        <v>1</v>
      </c>
      <c r="P11" s="231"/>
      <c r="Q11" s="232"/>
      <c r="R11" s="231">
        <f>IFERROR(1-(SUMIF('Grid BD'!$B:$B,$A11,'Grid BD'!$AD:$AD)/($AA11+SUMIF('Grid BD'!$B:$B,$A11,'Grid BD'!AD:AD))),"")</f>
        <v>1</v>
      </c>
      <c r="S11" s="6"/>
      <c r="T11" s="232"/>
      <c r="U11" s="233">
        <f t="shared" si="1"/>
        <v>0.7432114138188366</v>
      </c>
      <c r="V11" s="233"/>
      <c r="W11" s="234">
        <f t="shared" si="2"/>
        <v>0.21671131117702641</v>
      </c>
      <c r="X11" s="227">
        <f>IFERROR(_xlfn.XLOOKUP($A11,'Raw Data'!$A:$A,'Raw Data'!$BA:$BA),"")</f>
        <v>128983</v>
      </c>
      <c r="Y11" s="227">
        <f>IFERROR(_xlfn.XLOOKUP($A11,'Raw Data'!$A:$A,'Raw Data'!BJ:BJ),"")</f>
        <v>127518.11999999336</v>
      </c>
      <c r="Z11" s="227">
        <f>IFERROR(_xlfn.XLOOKUP($A11,'Raw Data'!$A:$A,'Raw Data'!BK:BK),"")</f>
        <v>1115.9599999999728</v>
      </c>
      <c r="AA11" s="227">
        <f>IFERROR(_xlfn.XLOOKUP($A11,'Raw Data'!$A:$A,'Raw Data'!BL:BL),"")</f>
        <v>126402.15999999338</v>
      </c>
      <c r="AB11" s="227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27">
        <f>IFERROR(_xlfn.XLOOKUP($D11,'Modelling New'!$D:$D,'Modelling New'!$T:$T)*1000,"")</f>
        <v>120499.94015769019</v>
      </c>
      <c r="AE11" s="234">
        <f>IFERROR(_xlfn.XLOOKUP($D11,'Modelling New'!$D:$D,'Modelling New'!$O:$O),"")</f>
        <v>0.74859779740027077</v>
      </c>
      <c r="AF11" s="234">
        <f>IFERROR(_xlfn.XLOOKUP($D11,'Modelling New'!$D:$D,'Modelling New'!$W:$W),"")</f>
        <v>0.20659219769921358</v>
      </c>
      <c r="AG11" s="234">
        <f>IFERROR(_xlfn.XLOOKUP($D11,'Modelling New'!$D:$D,'Modelling New'!AE:AE),"")</f>
        <v>0.995</v>
      </c>
      <c r="AH11" s="234">
        <v>0.99750000000000005</v>
      </c>
      <c r="AI11" s="6"/>
      <c r="AJ11" s="6"/>
      <c r="AK11" s="6"/>
      <c r="AL11" s="6"/>
      <c r="AM11" s="6"/>
      <c r="AN11" s="231"/>
      <c r="AO11" s="234"/>
      <c r="AP11" s="234"/>
      <c r="AQ11" s="234"/>
      <c r="AR11" s="227">
        <f>IFERROR(_xlfn.XLOOKUP($D11,'Modelling New'!$D:$D,'Modelling New'!$N:$N),"")</f>
        <v>24.303100000000001</v>
      </c>
      <c r="AS11" s="227"/>
    </row>
    <row r="12" spans="1:45" x14ac:dyDescent="0.35">
      <c r="A12" s="226">
        <f t="shared" si="3"/>
        <v>45755</v>
      </c>
      <c r="B12" s="227">
        <f>YEAR(Daily_KPI[[#This Row],[Date]])+IF(MONTH(Daily_KPI[[#This Row],[Date]])&gt;=4,1,0)</f>
        <v>2026</v>
      </c>
      <c r="C12" s="6">
        <f>YEAR(Daily_KPI[[#This Row],[Date]])</f>
        <v>2025</v>
      </c>
      <c r="D12" s="228">
        <f>Daily_KPI[[#This Row],[Date]]-DAY(Daily_KPI[[#This Row],[Date]])+1</f>
        <v>45748</v>
      </c>
      <c r="E12" s="6">
        <f t="shared" si="0"/>
        <v>30</v>
      </c>
      <c r="F12" s="229">
        <f>IFERROR(_xlfn.XLOOKUP($A12,'Raw Data'!$A:$A,'Raw Data'!$BR:$BR),"")</f>
        <v>11.883333333333333</v>
      </c>
      <c r="G12" s="230">
        <f>IFERROR(_xlfn.XLOOKUP($A12,'Raw Data'!$A:$A,'Raw Data'!$AO:$AO),"")</f>
        <v>0</v>
      </c>
      <c r="H12" s="230"/>
      <c r="I12" s="230">
        <f>IFERROR(_xlfn.XLOOKUP($A12,'Raw Data'!$A:$A,'Raw Data'!$AR:$AR),"")</f>
        <v>6.8258023064250413</v>
      </c>
      <c r="J12" s="230"/>
      <c r="K12" s="230">
        <f>IFERROR(_xlfn.XLOOKUP($A12,'Raw Data'!$A:$A,'Raw Data'!$AV:$AV),"")</f>
        <v>0</v>
      </c>
      <c r="L12" s="230">
        <f>IFERROR(_xlfn.XLOOKUP($A12,'Raw Data'!$A:$A,'Raw Data'!$AW:$AW),"")</f>
        <v>0</v>
      </c>
      <c r="M12" s="230">
        <f>IFERROR(_xlfn.XLOOKUP($A12,'Raw Data'!$A:$A,'Raw Data'!$AX:$AX),"")</f>
        <v>0</v>
      </c>
      <c r="N12" s="230">
        <f>IFERROR(_xlfn.XLOOKUP($A12,'Raw Data'!$A:$A,'Raw Data'!$AY:$AY),"")</f>
        <v>0</v>
      </c>
      <c r="O12" s="231">
        <f>IFERROR(1-(SUMIF('Plant BD'!$B:$B,A12,'Plant BD'!$AE:$AE)/(AA12+SUMIF('Plant BD'!$B:$B,A12,'Plant BD'!$AE:$AE))),"")</f>
        <v>1</v>
      </c>
      <c r="P12" s="231"/>
      <c r="Q12" s="232"/>
      <c r="R12" s="231">
        <f>IFERROR(1-(SUMIF('Grid BD'!$B:$B,$A12,'Grid BD'!$AD:$AD)/($AA12+SUMIF('Grid BD'!$B:$B,$A12,'Grid BD'!AD:AD))),"")</f>
        <v>1</v>
      </c>
      <c r="S12" s="6"/>
      <c r="T12" s="232"/>
      <c r="U12" s="233">
        <f t="shared" si="1"/>
        <v>0.74961270878836639</v>
      </c>
      <c r="V12" s="233"/>
      <c r="W12" s="234">
        <f t="shared" si="2"/>
        <v>0.21319617319054809</v>
      </c>
      <c r="X12" s="227">
        <f>IFERROR(_xlfn.XLOOKUP($A12,'Raw Data'!$A:$A,'Raw Data'!$BA:$BA),"")</f>
        <v>126836</v>
      </c>
      <c r="Y12" s="227">
        <f>IFERROR(_xlfn.XLOOKUP($A12,'Raw Data'!$A:$A,'Raw Data'!BJ:BJ),"")</f>
        <v>125388.02000001306</v>
      </c>
      <c r="Z12" s="227">
        <f>IFERROR(_xlfn.XLOOKUP($A12,'Raw Data'!$A:$A,'Raw Data'!BK:BK),"")</f>
        <v>1036.1500000000206</v>
      </c>
      <c r="AA12" s="227">
        <f>IFERROR(_xlfn.XLOOKUP($A12,'Raw Data'!$A:$A,'Raw Data'!BL:BL),"")</f>
        <v>124351.87000001303</v>
      </c>
      <c r="AB12" s="227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27">
        <f>IFERROR(_xlfn.XLOOKUP($D12,'Modelling New'!$D:$D,'Modelling New'!$T:$T)*1000,"")</f>
        <v>120499.94015769019</v>
      </c>
      <c r="AE12" s="234">
        <f>IFERROR(_xlfn.XLOOKUP($D12,'Modelling New'!$D:$D,'Modelling New'!$O:$O),"")</f>
        <v>0.74859779740027077</v>
      </c>
      <c r="AF12" s="234">
        <f>IFERROR(_xlfn.XLOOKUP($D12,'Modelling New'!$D:$D,'Modelling New'!$W:$W),"")</f>
        <v>0.20659219769921358</v>
      </c>
      <c r="AG12" s="234">
        <f>IFERROR(_xlfn.XLOOKUP($D12,'Modelling New'!$D:$D,'Modelling New'!AE:AE),"")</f>
        <v>0.995</v>
      </c>
      <c r="AH12" s="234">
        <v>0.99750000000000005</v>
      </c>
      <c r="AI12" s="6"/>
      <c r="AJ12" s="6"/>
      <c r="AK12" s="6"/>
      <c r="AL12" s="6"/>
      <c r="AM12" s="6"/>
      <c r="AN12" s="231"/>
      <c r="AO12" s="234"/>
      <c r="AP12" s="234"/>
      <c r="AQ12" s="234"/>
      <c r="AR12" s="227">
        <f>IFERROR(_xlfn.XLOOKUP($D12,'Modelling New'!$D:$D,'Modelling New'!$N:$N),"")</f>
        <v>24.303100000000001</v>
      </c>
      <c r="AS12" s="227"/>
    </row>
    <row r="13" spans="1:45" x14ac:dyDescent="0.35">
      <c r="A13" s="226">
        <f t="shared" si="3"/>
        <v>45756</v>
      </c>
      <c r="B13" s="227">
        <f>YEAR(Daily_KPI[[#This Row],[Date]])+IF(MONTH(Daily_KPI[[#This Row],[Date]])&gt;=4,1,0)</f>
        <v>2026</v>
      </c>
      <c r="C13" s="6">
        <f>YEAR(Daily_KPI[[#This Row],[Date]])</f>
        <v>2025</v>
      </c>
      <c r="D13" s="228">
        <f>Daily_KPI[[#This Row],[Date]]-DAY(Daily_KPI[[#This Row],[Date]])+1</f>
        <v>45748</v>
      </c>
      <c r="E13" s="6">
        <f t="shared" si="0"/>
        <v>30</v>
      </c>
      <c r="F13" s="229">
        <f>IFERROR(_xlfn.XLOOKUP($A13,'Raw Data'!$A:$A,'Raw Data'!$BR:$BR),"")</f>
        <v>11.916666666666668</v>
      </c>
      <c r="G13" s="230">
        <f>IFERROR(_xlfn.XLOOKUP($A13,'Raw Data'!$A:$A,'Raw Data'!$AO:$AO),"")</f>
        <v>0</v>
      </c>
      <c r="H13" s="230"/>
      <c r="I13" s="230">
        <f>IFERROR(_xlfn.XLOOKUP($A13,'Raw Data'!$A:$A,'Raw Data'!$AR:$AR),"")</f>
        <v>6.6833014688220755</v>
      </c>
      <c r="J13" s="230"/>
      <c r="K13" s="230">
        <f>IFERROR(_xlfn.XLOOKUP($A13,'Raw Data'!$A:$A,'Raw Data'!$AV:$AV),"")</f>
        <v>0</v>
      </c>
      <c r="L13" s="230">
        <f>IFERROR(_xlfn.XLOOKUP($A13,'Raw Data'!$A:$A,'Raw Data'!$AW:$AW),"")</f>
        <v>0</v>
      </c>
      <c r="M13" s="230">
        <f>IFERROR(_xlfn.XLOOKUP($A13,'Raw Data'!$A:$A,'Raw Data'!$AX:$AX),"")</f>
        <v>0</v>
      </c>
      <c r="N13" s="230">
        <f>IFERROR(_xlfn.XLOOKUP($A13,'Raw Data'!$A:$A,'Raw Data'!$AY:$AY),"")</f>
        <v>0</v>
      </c>
      <c r="O13" s="231">
        <f>IFERROR(1-(SUMIF('Plant BD'!$B:$B,A13,'Plant BD'!$AE:$AE)/(AA13+SUMIF('Plant BD'!$B:$B,A13,'Plant BD'!$AE:$AE))),"")</f>
        <v>1</v>
      </c>
      <c r="P13" s="231"/>
      <c r="Q13" s="232"/>
      <c r="R13" s="231">
        <f>IFERROR(1-(SUMIF('Grid BD'!$B:$B,$A13,'Grid BD'!$AD:$AD)/($AA13+SUMIF('Grid BD'!$B:$B,$A13,'Grid BD'!AD:AD))),"")</f>
        <v>1</v>
      </c>
      <c r="S13" s="6"/>
      <c r="T13" s="232"/>
      <c r="U13" s="233">
        <f t="shared" si="1"/>
        <v>0.74128835811173732</v>
      </c>
      <c r="V13" s="233"/>
      <c r="W13" s="234">
        <f t="shared" si="2"/>
        <v>0.20642723219120326</v>
      </c>
      <c r="X13" s="227">
        <f>IFERROR(_xlfn.XLOOKUP($A13,'Raw Data'!$A:$A,'Raw Data'!$BA:$BA),"")</f>
        <v>122236</v>
      </c>
      <c r="Y13" s="227">
        <f>IFERROR(_xlfn.XLOOKUP($A13,'Raw Data'!$A:$A,'Raw Data'!BJ:BJ),"")</f>
        <v>121028.96999998484</v>
      </c>
      <c r="Z13" s="227">
        <f>IFERROR(_xlfn.XLOOKUP($A13,'Raw Data'!$A:$A,'Raw Data'!BK:BK),"")</f>
        <v>625.25000000005093</v>
      </c>
      <c r="AA13" s="227">
        <f>IFERROR(_xlfn.XLOOKUP($A13,'Raw Data'!$A:$A,'Raw Data'!BL:BL),"")</f>
        <v>120403.71999998478</v>
      </c>
      <c r="AB13" s="227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27">
        <f>IFERROR(_xlfn.XLOOKUP($D13,'Modelling New'!$D:$D,'Modelling New'!$T:$T)*1000,"")</f>
        <v>120499.94015769019</v>
      </c>
      <c r="AE13" s="234">
        <f>IFERROR(_xlfn.XLOOKUP($D13,'Modelling New'!$D:$D,'Modelling New'!$O:$O),"")</f>
        <v>0.74859779740027077</v>
      </c>
      <c r="AF13" s="234">
        <f>IFERROR(_xlfn.XLOOKUP($D13,'Modelling New'!$D:$D,'Modelling New'!$W:$W),"")</f>
        <v>0.20659219769921358</v>
      </c>
      <c r="AG13" s="234">
        <f>IFERROR(_xlfn.XLOOKUP($D13,'Modelling New'!$D:$D,'Modelling New'!AE:AE),"")</f>
        <v>0.995</v>
      </c>
      <c r="AH13" s="234">
        <v>0.99750000000000005</v>
      </c>
      <c r="AI13" s="6"/>
      <c r="AJ13" s="6"/>
      <c r="AK13" s="6"/>
      <c r="AL13" s="6"/>
      <c r="AM13" s="6"/>
      <c r="AN13" s="231"/>
      <c r="AO13" s="234"/>
      <c r="AP13" s="234"/>
      <c r="AQ13" s="234"/>
      <c r="AR13" s="227">
        <f>IFERROR(_xlfn.XLOOKUP($D13,'Modelling New'!$D:$D,'Modelling New'!$N:$N),"")</f>
        <v>24.303100000000001</v>
      </c>
      <c r="AS13" s="227"/>
    </row>
    <row r="14" spans="1:45" x14ac:dyDescent="0.35">
      <c r="A14" s="226">
        <f t="shared" si="3"/>
        <v>45757</v>
      </c>
      <c r="B14" s="227">
        <f>YEAR(Daily_KPI[[#This Row],[Date]])+IF(MONTH(Daily_KPI[[#This Row],[Date]])&gt;=4,1,0)</f>
        <v>2026</v>
      </c>
      <c r="C14" s="6">
        <f>YEAR(Daily_KPI[[#This Row],[Date]])</f>
        <v>2025</v>
      </c>
      <c r="D14" s="228">
        <f>Daily_KPI[[#This Row],[Date]]-DAY(Daily_KPI[[#This Row],[Date]])+1</f>
        <v>45748</v>
      </c>
      <c r="E14" s="6">
        <f t="shared" si="0"/>
        <v>30</v>
      </c>
      <c r="F14" s="229">
        <f>IFERROR(_xlfn.XLOOKUP($A14,'Raw Data'!$A:$A,'Raw Data'!$BR:$BR),"")</f>
        <v>11.866666666666667</v>
      </c>
      <c r="G14" s="230">
        <f>IFERROR(_xlfn.XLOOKUP($A14,'Raw Data'!$A:$A,'Raw Data'!$AO:$AO),"")</f>
        <v>0</v>
      </c>
      <c r="H14" s="230"/>
      <c r="I14" s="230">
        <f>IFERROR(_xlfn.XLOOKUP($A14,'Raw Data'!$A:$A,'Raw Data'!$AR:$AR),"")</f>
        <v>6.3952928336079076</v>
      </c>
      <c r="J14" s="230"/>
      <c r="K14" s="230">
        <f>IFERROR(_xlfn.XLOOKUP($A14,'Raw Data'!$A:$A,'Raw Data'!$AV:$AV),"")</f>
        <v>0</v>
      </c>
      <c r="L14" s="230">
        <f>IFERROR(_xlfn.XLOOKUP($A14,'Raw Data'!$A:$A,'Raw Data'!$AW:$AW),"")</f>
        <v>0</v>
      </c>
      <c r="M14" s="230">
        <f>IFERROR(_xlfn.XLOOKUP($A14,'Raw Data'!$A:$A,'Raw Data'!$AX:$AX),"")</f>
        <v>0</v>
      </c>
      <c r="N14" s="230">
        <f>IFERROR(_xlfn.XLOOKUP($A14,'Raw Data'!$A:$A,'Raw Data'!$AY:$AY),"")</f>
        <v>0</v>
      </c>
      <c r="O14" s="231">
        <f>IFERROR(1-(SUMIF('Plant BD'!$B:$B,A14,'Plant BD'!$AE:$AE)/(AA14+SUMIF('Plant BD'!$B:$B,A14,'Plant BD'!$AE:$AE))),"")</f>
        <v>1</v>
      </c>
      <c r="P14" s="231"/>
      <c r="Q14" s="232"/>
      <c r="R14" s="231">
        <f>IFERROR(1-(SUMIF('Grid BD'!$B:$B,$A14,'Grid BD'!$AD:$AD)/($AA14+SUMIF('Grid BD'!$B:$B,$A14,'Grid BD'!AD:AD))),"")</f>
        <v>1</v>
      </c>
      <c r="S14" s="6"/>
      <c r="T14" s="232"/>
      <c r="U14" s="233">
        <f t="shared" si="1"/>
        <v>0.76035955914662723</v>
      </c>
      <c r="V14" s="233"/>
      <c r="W14" s="234">
        <f t="shared" si="2"/>
        <v>0.20261341831565388</v>
      </c>
      <c r="X14" s="227">
        <f>IFERROR(_xlfn.XLOOKUP($A14,'Raw Data'!$A:$A,'Raw Data'!$BA:$BA),"")</f>
        <v>120303</v>
      </c>
      <c r="Y14" s="227">
        <f>IFERROR(_xlfn.XLOOKUP($A14,'Raw Data'!$A:$A,'Raw Data'!BJ:BJ),"")</f>
        <v>119078.44000001205</v>
      </c>
      <c r="Z14" s="227">
        <f>IFERROR(_xlfn.XLOOKUP($A14,'Raw Data'!$A:$A,'Raw Data'!BK:BK),"")</f>
        <v>899.2200000000139</v>
      </c>
      <c r="AA14" s="227">
        <f>IFERROR(_xlfn.XLOOKUP($A14,'Raw Data'!$A:$A,'Raw Data'!BL:BL),"")</f>
        <v>118179.22000001204</v>
      </c>
      <c r="AB14" s="227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27">
        <f>IFERROR(_xlfn.XLOOKUP($D14,'Modelling New'!$D:$D,'Modelling New'!$T:$T)*1000,"")</f>
        <v>120499.94015769019</v>
      </c>
      <c r="AE14" s="234">
        <f>IFERROR(_xlfn.XLOOKUP($D14,'Modelling New'!$D:$D,'Modelling New'!$O:$O),"")</f>
        <v>0.74859779740027077</v>
      </c>
      <c r="AF14" s="234">
        <f>IFERROR(_xlfn.XLOOKUP($D14,'Modelling New'!$D:$D,'Modelling New'!$W:$W),"")</f>
        <v>0.20659219769921358</v>
      </c>
      <c r="AG14" s="234">
        <f>IFERROR(_xlfn.XLOOKUP($D14,'Modelling New'!$D:$D,'Modelling New'!AE:AE),"")</f>
        <v>0.995</v>
      </c>
      <c r="AH14" s="234">
        <v>0.99750000000000005</v>
      </c>
      <c r="AI14" s="6"/>
      <c r="AJ14" s="6"/>
      <c r="AK14" s="6"/>
      <c r="AL14" s="6"/>
      <c r="AM14" s="6"/>
      <c r="AN14" s="231"/>
      <c r="AO14" s="234"/>
      <c r="AP14" s="234"/>
      <c r="AQ14" s="234"/>
      <c r="AR14" s="227">
        <f>IFERROR(_xlfn.XLOOKUP($D14,'Modelling New'!$D:$D,'Modelling New'!$N:$N),"")</f>
        <v>24.303100000000001</v>
      </c>
      <c r="AS14" s="227"/>
    </row>
    <row r="15" spans="1:45" x14ac:dyDescent="0.35">
      <c r="A15" s="226">
        <f t="shared" si="3"/>
        <v>45758</v>
      </c>
      <c r="B15" s="227">
        <f>YEAR(Daily_KPI[[#This Row],[Date]])+IF(MONTH(Daily_KPI[[#This Row],[Date]])&gt;=4,1,0)</f>
        <v>2026</v>
      </c>
      <c r="C15" s="6">
        <f>YEAR(Daily_KPI[[#This Row],[Date]])</f>
        <v>2025</v>
      </c>
      <c r="D15" s="228">
        <f>Daily_KPI[[#This Row],[Date]]-DAY(Daily_KPI[[#This Row],[Date]])+1</f>
        <v>45748</v>
      </c>
      <c r="E15" s="6">
        <f t="shared" si="0"/>
        <v>30</v>
      </c>
      <c r="F15" s="229">
        <f>IFERROR(_xlfn.XLOOKUP($A15,'Raw Data'!$A:$A,'Raw Data'!$BR:$BR),"")</f>
        <v>11.933333333333335</v>
      </c>
      <c r="G15" s="230">
        <f>IFERROR(_xlfn.XLOOKUP($A15,'Raw Data'!$A:$A,'Raw Data'!$AO:$AO),"")</f>
        <v>0</v>
      </c>
      <c r="H15" s="230"/>
      <c r="I15" s="230">
        <f>IFERROR(_xlfn.XLOOKUP($A15,'Raw Data'!$A:$A,'Raw Data'!$AR:$AR),"")</f>
        <v>6.6715741350906086</v>
      </c>
      <c r="J15" s="230"/>
      <c r="K15" s="230">
        <f>IFERROR(_xlfn.XLOOKUP($A15,'Raw Data'!$A:$A,'Raw Data'!$AV:$AV),"")</f>
        <v>0</v>
      </c>
      <c r="L15" s="230">
        <f>IFERROR(_xlfn.XLOOKUP($A15,'Raw Data'!$A:$A,'Raw Data'!$AW:$AW),"")</f>
        <v>0</v>
      </c>
      <c r="M15" s="230">
        <f>IFERROR(_xlfn.XLOOKUP($A15,'Raw Data'!$A:$A,'Raw Data'!$AX:$AX),"")</f>
        <v>0</v>
      </c>
      <c r="N15" s="230">
        <f>IFERROR(_xlfn.XLOOKUP($A15,'Raw Data'!$A:$A,'Raw Data'!$AY:$AY),"")</f>
        <v>0</v>
      </c>
      <c r="O15" s="231">
        <f>IFERROR(1-(SUMIF('Plant BD'!$B:$B,A15,'Plant BD'!$AE:$AE)/(AA15+SUMIF('Plant BD'!$B:$B,A15,'Plant BD'!$AE:$AE))),"")</f>
        <v>1</v>
      </c>
      <c r="P15" s="231"/>
      <c r="Q15" s="232"/>
      <c r="R15" s="231">
        <f>IFERROR(1-(SUMIF('Grid BD'!$B:$B,$A15,'Grid BD'!$AD:$AD)/($AA15+SUMIF('Grid BD'!$B:$B,$A15,'Grid BD'!AD:AD))),"")</f>
        <v>1</v>
      </c>
      <c r="S15" s="6"/>
      <c r="T15" s="232"/>
      <c r="U15" s="233">
        <f t="shared" si="1"/>
        <v>0.74229529705616071</v>
      </c>
      <c r="V15" s="233"/>
      <c r="W15" s="234">
        <f t="shared" si="2"/>
        <v>0.20634492101830343</v>
      </c>
      <c r="X15" s="227">
        <f>IFERROR(_xlfn.XLOOKUP($A15,'Raw Data'!$A:$A,'Raw Data'!$BA:$BA),"")</f>
        <v>122443</v>
      </c>
      <c r="Y15" s="227">
        <f>IFERROR(_xlfn.XLOOKUP($A15,'Raw Data'!$A:$A,'Raw Data'!BJ:BJ),"")</f>
        <v>121199.22999999835</v>
      </c>
      <c r="Z15" s="227">
        <f>IFERROR(_xlfn.XLOOKUP($A15,'Raw Data'!$A:$A,'Raw Data'!BK:BK),"")</f>
        <v>843.52000000001226</v>
      </c>
      <c r="AA15" s="227">
        <f>IFERROR(_xlfn.XLOOKUP($A15,'Raw Data'!$A:$A,'Raw Data'!BL:BL),"")</f>
        <v>120355.70999999833</v>
      </c>
      <c r="AB15" s="227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27">
        <f>IFERROR(_xlfn.XLOOKUP($D15,'Modelling New'!$D:$D,'Modelling New'!$T:$T)*1000,"")</f>
        <v>120499.94015769019</v>
      </c>
      <c r="AE15" s="234">
        <f>IFERROR(_xlfn.XLOOKUP($D15,'Modelling New'!$D:$D,'Modelling New'!$O:$O),"")</f>
        <v>0.74859779740027077</v>
      </c>
      <c r="AF15" s="234">
        <f>IFERROR(_xlfn.XLOOKUP($D15,'Modelling New'!$D:$D,'Modelling New'!$W:$W),"")</f>
        <v>0.20659219769921358</v>
      </c>
      <c r="AG15" s="234">
        <f>IFERROR(_xlfn.XLOOKUP($D15,'Modelling New'!$D:$D,'Modelling New'!AE:AE),"")</f>
        <v>0.995</v>
      </c>
      <c r="AH15" s="234">
        <v>0.99750000000000005</v>
      </c>
      <c r="AI15" s="6"/>
      <c r="AJ15" s="6"/>
      <c r="AK15" s="6"/>
      <c r="AL15" s="6"/>
      <c r="AM15" s="6"/>
      <c r="AN15" s="231"/>
      <c r="AO15" s="234"/>
      <c r="AP15" s="234"/>
      <c r="AQ15" s="234"/>
      <c r="AR15" s="227">
        <f>IFERROR(_xlfn.XLOOKUP($D15,'Modelling New'!$D:$D,'Modelling New'!$N:$N),"")</f>
        <v>24.303100000000001</v>
      </c>
      <c r="AS15" s="227"/>
    </row>
    <row r="16" spans="1:45" x14ac:dyDescent="0.35">
      <c r="A16" s="226">
        <f t="shared" si="3"/>
        <v>45759</v>
      </c>
      <c r="B16" s="227">
        <f>YEAR(Daily_KPI[[#This Row],[Date]])+IF(MONTH(Daily_KPI[[#This Row],[Date]])&gt;=4,1,0)</f>
        <v>2026</v>
      </c>
      <c r="C16" s="6">
        <f>YEAR(Daily_KPI[[#This Row],[Date]])</f>
        <v>2025</v>
      </c>
      <c r="D16" s="228">
        <f>Daily_KPI[[#This Row],[Date]]-DAY(Daily_KPI[[#This Row],[Date]])+1</f>
        <v>45748</v>
      </c>
      <c r="E16" s="6">
        <f t="shared" si="0"/>
        <v>30</v>
      </c>
      <c r="F16" s="229">
        <f>IFERROR(_xlfn.XLOOKUP($A16,'Raw Data'!$A:$A,'Raw Data'!$BR:$BR),"")</f>
        <v>11.950000000000001</v>
      </c>
      <c r="G16" s="230">
        <f>IFERROR(_xlfn.XLOOKUP($A16,'Raw Data'!$A:$A,'Raw Data'!$AO:$AO),"")</f>
        <v>0</v>
      </c>
      <c r="H16" s="230"/>
      <c r="I16" s="230">
        <f>IFERROR(_xlfn.XLOOKUP($A16,'Raw Data'!$A:$A,'Raw Data'!$AR:$AR),"")</f>
        <v>6.8142129324546943</v>
      </c>
      <c r="J16" s="230"/>
      <c r="K16" s="230">
        <f>IFERROR(_xlfn.XLOOKUP($A16,'Raw Data'!$A:$A,'Raw Data'!$AV:$AV),"")</f>
        <v>0</v>
      </c>
      <c r="L16" s="230">
        <f>IFERROR(_xlfn.XLOOKUP($A16,'Raw Data'!$A:$A,'Raw Data'!$AW:$AW),"")</f>
        <v>0</v>
      </c>
      <c r="M16" s="230">
        <f>IFERROR(_xlfn.XLOOKUP($A16,'Raw Data'!$A:$A,'Raw Data'!$AX:$AX),"")</f>
        <v>0</v>
      </c>
      <c r="N16" s="230">
        <f>IFERROR(_xlfn.XLOOKUP($A16,'Raw Data'!$A:$A,'Raw Data'!$AY:$AY),"")</f>
        <v>0</v>
      </c>
      <c r="O16" s="231">
        <f>IFERROR(1-(SUMIF('Plant BD'!$B:$B,A16,'Plant BD'!$AE:$AE)/(AA16+SUMIF('Plant BD'!$B:$B,A16,'Plant BD'!$AE:$AE))),"")</f>
        <v>1</v>
      </c>
      <c r="P16" s="231"/>
      <c r="Q16" s="232"/>
      <c r="R16" s="231">
        <f>IFERROR(1-(SUMIF('Grid BD'!$B:$B,$A16,'Grid BD'!$AD:$AD)/($AA16+SUMIF('Grid BD'!$B:$B,$A16,'Grid BD'!AD:AD))),"")</f>
        <v>1</v>
      </c>
      <c r="S16" s="6"/>
      <c r="T16" s="232"/>
      <c r="U16" s="233">
        <f t="shared" si="1"/>
        <v>0.76034981282940239</v>
      </c>
      <c r="V16" s="233"/>
      <c r="W16" s="234">
        <f t="shared" si="2"/>
        <v>0.21588273032381747</v>
      </c>
      <c r="X16" s="227">
        <f>IFERROR(_xlfn.XLOOKUP($A16,'Raw Data'!$A:$A,'Raw Data'!$BA:$BA),"")</f>
        <v>128279</v>
      </c>
      <c r="Y16" s="227">
        <f>IFERROR(_xlfn.XLOOKUP($A16,'Raw Data'!$A:$A,'Raw Data'!BJ:BJ),"")</f>
        <v>126860.12999998638</v>
      </c>
      <c r="Z16" s="227">
        <f>IFERROR(_xlfn.XLOOKUP($A16,'Raw Data'!$A:$A,'Raw Data'!BK:BK),"")</f>
        <v>941.25999999994292</v>
      </c>
      <c r="AA16" s="227">
        <f>IFERROR(_xlfn.XLOOKUP($A16,'Raw Data'!$A:$A,'Raw Data'!BL:BL),"")</f>
        <v>125918.86999998645</v>
      </c>
      <c r="AB16" s="227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27">
        <f>IFERROR(_xlfn.XLOOKUP($D16,'Modelling New'!$D:$D,'Modelling New'!$T:$T)*1000,"")</f>
        <v>120499.94015769019</v>
      </c>
      <c r="AE16" s="234">
        <f>IFERROR(_xlfn.XLOOKUP($D16,'Modelling New'!$D:$D,'Modelling New'!$O:$O),"")</f>
        <v>0.74859779740027077</v>
      </c>
      <c r="AF16" s="234">
        <f>IFERROR(_xlfn.XLOOKUP($D16,'Modelling New'!$D:$D,'Modelling New'!$W:$W),"")</f>
        <v>0.20659219769921358</v>
      </c>
      <c r="AG16" s="234">
        <f>IFERROR(_xlfn.XLOOKUP($D16,'Modelling New'!$D:$D,'Modelling New'!AE:AE),"")</f>
        <v>0.995</v>
      </c>
      <c r="AH16" s="234">
        <v>0.99750000000000005</v>
      </c>
      <c r="AI16" s="6"/>
      <c r="AJ16" s="6"/>
      <c r="AK16" s="6"/>
      <c r="AL16" s="6"/>
      <c r="AM16" s="6"/>
      <c r="AN16" s="231"/>
      <c r="AO16" s="234"/>
      <c r="AP16" s="234"/>
      <c r="AQ16" s="234"/>
      <c r="AR16" s="227">
        <f>IFERROR(_xlfn.XLOOKUP($D16,'Modelling New'!$D:$D,'Modelling New'!$N:$N),"")</f>
        <v>24.303100000000001</v>
      </c>
      <c r="AS16" s="227"/>
    </row>
    <row r="17" spans="1:45" x14ac:dyDescent="0.35">
      <c r="A17" s="226">
        <f t="shared" si="3"/>
        <v>45760</v>
      </c>
      <c r="B17" s="227">
        <f>YEAR(Daily_KPI[[#This Row],[Date]])+IF(MONTH(Daily_KPI[[#This Row],[Date]])&gt;=4,1,0)</f>
        <v>2026</v>
      </c>
      <c r="C17" s="6">
        <f>YEAR(Daily_KPI[[#This Row],[Date]])</f>
        <v>2025</v>
      </c>
      <c r="D17" s="228">
        <f>Daily_KPI[[#This Row],[Date]]-DAY(Daily_KPI[[#This Row],[Date]])+1</f>
        <v>45748</v>
      </c>
      <c r="E17" s="6">
        <f t="shared" si="0"/>
        <v>30</v>
      </c>
      <c r="F17" s="229">
        <f>IFERROR(_xlfn.XLOOKUP($A17,'Raw Data'!$A:$A,'Raw Data'!$BR:$BR),"")</f>
        <v>11.966666666666669</v>
      </c>
      <c r="G17" s="230">
        <f>IFERROR(_xlfn.XLOOKUP($A17,'Raw Data'!$A:$A,'Raw Data'!$AO:$AO),"")</f>
        <v>0</v>
      </c>
      <c r="H17" s="230"/>
      <c r="I17" s="230">
        <f>IFERROR(_xlfn.XLOOKUP($A17,'Raw Data'!$A:$A,'Raw Data'!$AR:$AR),"")</f>
        <v>6.887580230642504</v>
      </c>
      <c r="J17" s="230"/>
      <c r="K17" s="230">
        <f>IFERROR(_xlfn.XLOOKUP($A17,'Raw Data'!$A:$A,'Raw Data'!$AV:$AV),"")</f>
        <v>0</v>
      </c>
      <c r="L17" s="230">
        <f>IFERROR(_xlfn.XLOOKUP($A17,'Raw Data'!$A:$A,'Raw Data'!$AW:$AW),"")</f>
        <v>0</v>
      </c>
      <c r="M17" s="230">
        <f>IFERROR(_xlfn.XLOOKUP($A17,'Raw Data'!$A:$A,'Raw Data'!$AX:$AX),"")</f>
        <v>0</v>
      </c>
      <c r="N17" s="230">
        <f>IFERROR(_xlfn.XLOOKUP($A17,'Raw Data'!$A:$A,'Raw Data'!$AY:$AY),"")</f>
        <v>0</v>
      </c>
      <c r="O17" s="231">
        <f>IFERROR(1-(SUMIF('Plant BD'!$B:$B,A17,'Plant BD'!$AE:$AE)/(AA17+SUMIF('Plant BD'!$B:$B,A17,'Plant BD'!$AE:$AE))),"")</f>
        <v>0.95827513970889833</v>
      </c>
      <c r="P17" s="231"/>
      <c r="Q17" s="232"/>
      <c r="R17" s="231">
        <f>IFERROR(1-(SUMIF('Grid BD'!$B:$B,$A17,'Grid BD'!$AD:$AD)/($AA17+SUMIF('Grid BD'!$B:$B,$A17,'Grid BD'!AD:AD))),"")</f>
        <v>0.73835763127918008</v>
      </c>
      <c r="S17" s="6"/>
      <c r="T17" s="232"/>
      <c r="U17" s="233">
        <f t="shared" si="1"/>
        <v>0.54089756142618695</v>
      </c>
      <c r="V17" s="233"/>
      <c r="W17" s="234">
        <f t="shared" si="2"/>
        <v>0.1552281396200727</v>
      </c>
      <c r="X17" s="227">
        <f>IFERROR(_xlfn.XLOOKUP($A17,'Raw Data'!$A:$A,'Raw Data'!$BA:$BA),"")</f>
        <v>92166</v>
      </c>
      <c r="Y17" s="227">
        <f>IFERROR(_xlfn.XLOOKUP($A17,'Raw Data'!$A:$A,'Raw Data'!BJ:BJ),"")</f>
        <v>91351.40000001411</v>
      </c>
      <c r="Z17" s="227">
        <f>IFERROR(_xlfn.XLOOKUP($A17,'Raw Data'!$A:$A,'Raw Data'!BK:BK),"")</f>
        <v>810.79999999997199</v>
      </c>
      <c r="AA17" s="227">
        <f>IFERROR(_xlfn.XLOOKUP($A17,'Raw Data'!$A:$A,'Raw Data'!BL:BL),"")</f>
        <v>90540.600000014136</v>
      </c>
      <c r="AB17" s="227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27">
        <f>IFERROR(_xlfn.XLOOKUP($D17,'Modelling New'!$D:$D,'Modelling New'!$T:$T)*1000,"")</f>
        <v>120499.94015769019</v>
      </c>
      <c r="AE17" s="234">
        <f>IFERROR(_xlfn.XLOOKUP($D17,'Modelling New'!$D:$D,'Modelling New'!$O:$O),"")</f>
        <v>0.74859779740027077</v>
      </c>
      <c r="AF17" s="234">
        <f>IFERROR(_xlfn.XLOOKUP($D17,'Modelling New'!$D:$D,'Modelling New'!$W:$W),"")</f>
        <v>0.20659219769921358</v>
      </c>
      <c r="AG17" s="234">
        <f>IFERROR(_xlfn.XLOOKUP($D17,'Modelling New'!$D:$D,'Modelling New'!AE:AE),"")</f>
        <v>0.995</v>
      </c>
      <c r="AH17" s="234">
        <v>0.99750000000000005</v>
      </c>
      <c r="AI17" s="6"/>
      <c r="AJ17" s="6"/>
      <c r="AK17" s="6"/>
      <c r="AL17" s="6"/>
      <c r="AM17" s="6"/>
      <c r="AN17" s="231"/>
      <c r="AO17" s="234"/>
      <c r="AP17" s="234"/>
      <c r="AQ17" s="234"/>
      <c r="AR17" s="227">
        <f>IFERROR(_xlfn.XLOOKUP($D17,'Modelling New'!$D:$D,'Modelling New'!$N:$N),"")</f>
        <v>24.303100000000001</v>
      </c>
      <c r="AS17" s="227"/>
    </row>
    <row r="18" spans="1:45" x14ac:dyDescent="0.35">
      <c r="A18" s="226">
        <f t="shared" si="3"/>
        <v>45761</v>
      </c>
      <c r="B18" s="227">
        <f>YEAR(Daily_KPI[[#This Row],[Date]])+IF(MONTH(Daily_KPI[[#This Row],[Date]])&gt;=4,1,0)</f>
        <v>2026</v>
      </c>
      <c r="C18" s="6">
        <f>YEAR(Daily_KPI[[#This Row],[Date]])</f>
        <v>2025</v>
      </c>
      <c r="D18" s="228">
        <f>Daily_KPI[[#This Row],[Date]]-DAY(Daily_KPI[[#This Row],[Date]])+1</f>
        <v>45748</v>
      </c>
      <c r="E18" s="6">
        <f t="shared" si="0"/>
        <v>30</v>
      </c>
      <c r="F18" s="229">
        <f>IFERROR(_xlfn.XLOOKUP($A18,'Raw Data'!$A:$A,'Raw Data'!$BR:$BR),"")</f>
        <v>11.983333333333334</v>
      </c>
      <c r="G18" s="230">
        <f>IFERROR(_xlfn.XLOOKUP($A18,'Raw Data'!$A:$A,'Raw Data'!$AO:$AO),"")</f>
        <v>0</v>
      </c>
      <c r="H18" s="230"/>
      <c r="I18" s="230">
        <f>IFERROR(_xlfn.XLOOKUP($A18,'Raw Data'!$A:$A,'Raw Data'!$AR:$AR),"")</f>
        <v>6.9981049423393742</v>
      </c>
      <c r="J18" s="230"/>
      <c r="K18" s="230">
        <f>IFERROR(_xlfn.XLOOKUP($A18,'Raw Data'!$A:$A,'Raw Data'!$AV:$AV),"")</f>
        <v>0</v>
      </c>
      <c r="L18" s="230">
        <f>IFERROR(_xlfn.XLOOKUP($A18,'Raw Data'!$A:$A,'Raw Data'!$AW:$AW),"")</f>
        <v>0</v>
      </c>
      <c r="M18" s="230">
        <f>IFERROR(_xlfn.XLOOKUP($A18,'Raw Data'!$A:$A,'Raw Data'!$AX:$AX),"")</f>
        <v>0</v>
      </c>
      <c r="N18" s="230">
        <f>IFERROR(_xlfn.XLOOKUP($A18,'Raw Data'!$A:$A,'Raw Data'!$AY:$AY),"")</f>
        <v>0</v>
      </c>
      <c r="O18" s="231">
        <f>IFERROR(1-(SUMIF('Plant BD'!$B:$B,A18,'Plant BD'!$AE:$AE)/(AA18+SUMIF('Plant BD'!$B:$B,A18,'Plant BD'!$AE:$AE))),"")</f>
        <v>1</v>
      </c>
      <c r="P18" s="231"/>
      <c r="Q18" s="232"/>
      <c r="R18" s="231">
        <f>IFERROR(1-(SUMIF('Grid BD'!$B:$B,$A18,'Grid BD'!$AD:$AD)/($AA18+SUMIF('Grid BD'!$B:$B,$A18,'Grid BD'!AD:AD))),"")</f>
        <v>1</v>
      </c>
      <c r="S18" s="6"/>
      <c r="T18" s="232"/>
      <c r="U18" s="233">
        <f t="shared" ref="U18:U81" si="4">IFERROR(AA18/I18/AB18/1000,"")</f>
        <v>0.74391839335459942</v>
      </c>
      <c r="V18" s="233"/>
      <c r="W18" s="234">
        <f t="shared" si="2"/>
        <v>0.2169174577179995</v>
      </c>
      <c r="X18" s="227">
        <f>IFERROR(_xlfn.XLOOKUP($A18,'Raw Data'!$A:$A,'Raw Data'!$BA:$BA),"")</f>
        <v>128904</v>
      </c>
      <c r="Y18" s="227">
        <f>IFERROR(_xlfn.XLOOKUP($A18,'Raw Data'!$A:$A,'Raw Data'!BJ:BJ),"")</f>
        <v>127440.99999999162</v>
      </c>
      <c r="Z18" s="227">
        <f>IFERROR(_xlfn.XLOOKUP($A18,'Raw Data'!$A:$A,'Raw Data'!BK:BK),"")</f>
        <v>918.60000000008313</v>
      </c>
      <c r="AA18" s="227">
        <f>IFERROR(_xlfn.XLOOKUP($A18,'Raw Data'!$A:$A,'Raw Data'!BL:BL),"")</f>
        <v>126522.39999999154</v>
      </c>
      <c r="AB18" s="227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27">
        <f>IFERROR(_xlfn.XLOOKUP($D18,'Modelling New'!$D:$D,'Modelling New'!$T:$T)*1000,"")</f>
        <v>120499.94015769019</v>
      </c>
      <c r="AE18" s="234">
        <f>IFERROR(_xlfn.XLOOKUP($D18,'Modelling New'!$D:$D,'Modelling New'!$O:$O),"")</f>
        <v>0.74859779740027077</v>
      </c>
      <c r="AF18" s="234">
        <f>IFERROR(_xlfn.XLOOKUP($D18,'Modelling New'!$D:$D,'Modelling New'!$W:$W),"")</f>
        <v>0.20659219769921358</v>
      </c>
      <c r="AG18" s="234">
        <f>IFERROR(_xlfn.XLOOKUP($D18,'Modelling New'!$D:$D,'Modelling New'!AE:AE),"")</f>
        <v>0.995</v>
      </c>
      <c r="AH18" s="234">
        <v>0.99750000000000005</v>
      </c>
      <c r="AI18" s="6"/>
      <c r="AJ18" s="6"/>
      <c r="AK18" s="6"/>
      <c r="AL18" s="6"/>
      <c r="AM18" s="6"/>
      <c r="AN18" s="231"/>
      <c r="AO18" s="234"/>
      <c r="AP18" s="234"/>
      <c r="AQ18" s="234"/>
      <c r="AR18" s="227">
        <f>IFERROR(_xlfn.XLOOKUP($D18,'Modelling New'!$D:$D,'Modelling New'!$N:$N),"")</f>
        <v>24.303100000000001</v>
      </c>
      <c r="AS18" s="227"/>
    </row>
    <row r="19" spans="1:45" x14ac:dyDescent="0.35">
      <c r="A19" s="226">
        <f t="shared" si="3"/>
        <v>45762</v>
      </c>
      <c r="B19" s="227">
        <f>YEAR(Daily_KPI[[#This Row],[Date]])+IF(MONTH(Daily_KPI[[#This Row],[Date]])&gt;=4,1,0)</f>
        <v>2026</v>
      </c>
      <c r="C19" s="6">
        <f>YEAR(Daily_KPI[[#This Row],[Date]])</f>
        <v>2025</v>
      </c>
      <c r="D19" s="228">
        <f>Daily_KPI[[#This Row],[Date]]-DAY(Daily_KPI[[#This Row],[Date]])+1</f>
        <v>45748</v>
      </c>
      <c r="E19" s="6">
        <f t="shared" si="0"/>
        <v>30</v>
      </c>
      <c r="F19" s="229">
        <f>IFERROR(_xlfn.XLOOKUP($A19,'Raw Data'!$A:$A,'Raw Data'!$BR:$BR),"")</f>
        <v>11.983333333333334</v>
      </c>
      <c r="G19" s="230">
        <f>IFERROR(_xlfn.XLOOKUP($A19,'Raw Data'!$A:$A,'Raw Data'!$AO:$AO),"")</f>
        <v>0</v>
      </c>
      <c r="H19" s="230"/>
      <c r="I19" s="230">
        <f>IFERROR(_xlfn.XLOOKUP($A19,'Raw Data'!$A:$A,'Raw Data'!$AR:$AR),"")</f>
        <v>6.8779163920922564</v>
      </c>
      <c r="J19" s="230"/>
      <c r="K19" s="230">
        <f>IFERROR(_xlfn.XLOOKUP($A19,'Raw Data'!$A:$A,'Raw Data'!$AV:$AV),"")</f>
        <v>0</v>
      </c>
      <c r="L19" s="230">
        <f>IFERROR(_xlfn.XLOOKUP($A19,'Raw Data'!$A:$A,'Raw Data'!$AW:$AW),"")</f>
        <v>0</v>
      </c>
      <c r="M19" s="230">
        <f>IFERROR(_xlfn.XLOOKUP($A19,'Raw Data'!$A:$A,'Raw Data'!$AX:$AX),"")</f>
        <v>0</v>
      </c>
      <c r="N19" s="230">
        <f>IFERROR(_xlfn.XLOOKUP($A19,'Raw Data'!$A:$A,'Raw Data'!$AY:$AY),"")</f>
        <v>0</v>
      </c>
      <c r="O19" s="231">
        <f>IFERROR(1-(SUMIF('Plant BD'!$B:$B,A19,'Plant BD'!$AE:$AE)/(AA19+SUMIF('Plant BD'!$B:$B,A19,'Plant BD'!$AE:$AE))),"")</f>
        <v>1</v>
      </c>
      <c r="P19" s="231"/>
      <c r="Q19" s="232"/>
      <c r="R19" s="231">
        <f>IFERROR(1-(SUMIF('Grid BD'!$B:$B,$A19,'Grid BD'!$AD:$AD)/($AA19+SUMIF('Grid BD'!$B:$B,$A19,'Grid BD'!AD:AD))),"")</f>
        <v>1</v>
      </c>
      <c r="S19" s="6"/>
      <c r="T19" s="232"/>
      <c r="U19" s="233">
        <f t="shared" si="4"/>
        <v>0.74599881162766579</v>
      </c>
      <c r="V19" s="233"/>
      <c r="W19" s="234">
        <f t="shared" si="2"/>
        <v>0.21378822729063607</v>
      </c>
      <c r="X19" s="227">
        <f>IFERROR(_xlfn.XLOOKUP($A19,'Raw Data'!$A:$A,'Raw Data'!$BA:$BA),"")</f>
        <v>127279</v>
      </c>
      <c r="Y19" s="227">
        <f>IFERROR(_xlfn.XLOOKUP($A19,'Raw Data'!$A:$A,'Raw Data'!BJ:BJ),"")</f>
        <v>125822.50000000931</v>
      </c>
      <c r="Z19" s="227">
        <f>IFERROR(_xlfn.XLOOKUP($A19,'Raw Data'!$A:$A,'Raw Data'!BK:BK),"")</f>
        <v>1125.2999999999247</v>
      </c>
      <c r="AA19" s="227">
        <f>IFERROR(_xlfn.XLOOKUP($A19,'Raw Data'!$A:$A,'Raw Data'!BL:BL),"")</f>
        <v>124697.20000000938</v>
      </c>
      <c r="AB19" s="227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27">
        <f>IFERROR(_xlfn.XLOOKUP($D19,'Modelling New'!$D:$D,'Modelling New'!$T:$T)*1000,"")</f>
        <v>120499.94015769019</v>
      </c>
      <c r="AE19" s="234">
        <f>IFERROR(_xlfn.XLOOKUP($D19,'Modelling New'!$D:$D,'Modelling New'!$O:$O),"")</f>
        <v>0.74859779740027077</v>
      </c>
      <c r="AF19" s="234">
        <f>IFERROR(_xlfn.XLOOKUP($D19,'Modelling New'!$D:$D,'Modelling New'!$W:$W),"")</f>
        <v>0.20659219769921358</v>
      </c>
      <c r="AG19" s="234">
        <f>IFERROR(_xlfn.XLOOKUP($D19,'Modelling New'!$D:$D,'Modelling New'!AE:AE),"")</f>
        <v>0.995</v>
      </c>
      <c r="AH19" s="234">
        <v>0.99750000000000005</v>
      </c>
      <c r="AI19" s="6"/>
      <c r="AJ19" s="6"/>
      <c r="AK19" s="6"/>
      <c r="AL19" s="6"/>
      <c r="AM19" s="6"/>
      <c r="AN19" s="231"/>
      <c r="AO19" s="234"/>
      <c r="AP19" s="234"/>
      <c r="AQ19" s="234"/>
      <c r="AR19" s="227">
        <f>IFERROR(_xlfn.XLOOKUP($D19,'Modelling New'!$D:$D,'Modelling New'!$N:$N),"")</f>
        <v>24.303100000000001</v>
      </c>
      <c r="AS19" s="227"/>
    </row>
    <row r="20" spans="1:45" x14ac:dyDescent="0.35">
      <c r="A20" s="226">
        <f t="shared" ref="A20:A83" si="5">A19+1</f>
        <v>45763</v>
      </c>
      <c r="B20" s="227">
        <f>YEAR(Daily_KPI[[#This Row],[Date]])+IF(MONTH(Daily_KPI[[#This Row],[Date]])&gt;=4,1,0)</f>
        <v>2026</v>
      </c>
      <c r="C20" s="6">
        <f>YEAR(Daily_KPI[[#This Row],[Date]])</f>
        <v>2025</v>
      </c>
      <c r="D20" s="228">
        <f>Daily_KPI[[#This Row],[Date]]-DAY(Daily_KPI[[#This Row],[Date]])+1</f>
        <v>45748</v>
      </c>
      <c r="E20" s="6">
        <f t="shared" si="0"/>
        <v>30</v>
      </c>
      <c r="F20" s="229">
        <f>IFERROR(_xlfn.XLOOKUP($A20,'Raw Data'!$A:$A,'Raw Data'!$BR:$BR),"")</f>
        <v>11.933333333333334</v>
      </c>
      <c r="G20" s="230">
        <f>IFERROR(_xlfn.XLOOKUP($A20,'Raw Data'!$A:$A,'Raw Data'!$AO:$AO),"")</f>
        <v>0</v>
      </c>
      <c r="H20" s="230"/>
      <c r="I20" s="230">
        <f>IFERROR(_xlfn.XLOOKUP($A20,'Raw Data'!$A:$A,'Raw Data'!$AR:$AR),"")</f>
        <v>6.3957361202635914</v>
      </c>
      <c r="J20" s="230"/>
      <c r="K20" s="230">
        <f>IFERROR(_xlfn.XLOOKUP($A20,'Raw Data'!$A:$A,'Raw Data'!$AV:$AV),"")</f>
        <v>0</v>
      </c>
      <c r="L20" s="230">
        <f>IFERROR(_xlfn.XLOOKUP($A20,'Raw Data'!$A:$A,'Raw Data'!$AW:$AW),"")</f>
        <v>0</v>
      </c>
      <c r="M20" s="230">
        <f>IFERROR(_xlfn.XLOOKUP($A20,'Raw Data'!$A:$A,'Raw Data'!$AX:$AX),"")</f>
        <v>0</v>
      </c>
      <c r="N20" s="230">
        <f>IFERROR(_xlfn.XLOOKUP($A20,'Raw Data'!$A:$A,'Raw Data'!$AY:$AY),"")</f>
        <v>0</v>
      </c>
      <c r="O20" s="231">
        <f>IFERROR(1-(SUMIF('Plant BD'!$B:$B,A20,'Plant BD'!$AE:$AE)/(AA20+SUMIF('Plant BD'!$B:$B,A20,'Plant BD'!$AE:$AE))),"")</f>
        <v>1</v>
      </c>
      <c r="P20" s="231"/>
      <c r="Q20" s="232"/>
      <c r="R20" s="231">
        <f>IFERROR(1-(SUMIF('Grid BD'!$B:$B,$A20,'Grid BD'!$AD:$AD)/($AA20+SUMIF('Grid BD'!$B:$B,$A20,'Grid BD'!AD:AD))),"")</f>
        <v>1</v>
      </c>
      <c r="S20" s="6"/>
      <c r="T20" s="232"/>
      <c r="U20" s="233">
        <f t="shared" si="4"/>
        <v>0.7304788035532348</v>
      </c>
      <c r="V20" s="233"/>
      <c r="W20" s="234">
        <f t="shared" si="2"/>
        <v>0.19466456954051484</v>
      </c>
      <c r="X20" s="227">
        <f>IFERROR(_xlfn.XLOOKUP($A20,'Raw Data'!$A:$A,'Raw Data'!$BA:$BA),"")</f>
        <v>115488</v>
      </c>
      <c r="Y20" s="227">
        <f>IFERROR(_xlfn.XLOOKUP($A20,'Raw Data'!$A:$A,'Raw Data'!BJ:BJ),"")</f>
        <v>114250.78000000212</v>
      </c>
      <c r="Z20" s="227">
        <f>IFERROR(_xlfn.XLOOKUP($A20,'Raw Data'!$A:$A,'Raw Data'!BK:BK),"")</f>
        <v>707.92000000005828</v>
      </c>
      <c r="AA20" s="227">
        <f>IFERROR(_xlfn.XLOOKUP($A20,'Raw Data'!$A:$A,'Raw Data'!BL:BL),"")</f>
        <v>113542.86000000207</v>
      </c>
      <c r="AB20" s="227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27">
        <f>IFERROR(_xlfn.XLOOKUP($D20,'Modelling New'!$D:$D,'Modelling New'!$T:$T)*1000,"")</f>
        <v>120499.94015769019</v>
      </c>
      <c r="AE20" s="234">
        <f>IFERROR(_xlfn.XLOOKUP($D20,'Modelling New'!$D:$D,'Modelling New'!$O:$O),"")</f>
        <v>0.74859779740027077</v>
      </c>
      <c r="AF20" s="234">
        <f>IFERROR(_xlfn.XLOOKUP($D20,'Modelling New'!$D:$D,'Modelling New'!$W:$W),"")</f>
        <v>0.20659219769921358</v>
      </c>
      <c r="AG20" s="234">
        <f>IFERROR(_xlfn.XLOOKUP($D20,'Modelling New'!$D:$D,'Modelling New'!AE:AE),"")</f>
        <v>0.995</v>
      </c>
      <c r="AH20" s="234">
        <v>0.99750000000000005</v>
      </c>
      <c r="AI20" s="6"/>
      <c r="AJ20" s="6"/>
      <c r="AK20" s="6"/>
      <c r="AL20" s="6"/>
      <c r="AM20" s="6"/>
      <c r="AN20" s="231"/>
      <c r="AO20" s="234"/>
      <c r="AP20" s="234"/>
      <c r="AQ20" s="234"/>
      <c r="AR20" s="227">
        <f>IFERROR(_xlfn.XLOOKUP($D20,'Modelling New'!$D:$D,'Modelling New'!$N:$N),"")</f>
        <v>24.303100000000001</v>
      </c>
      <c r="AS20" s="227"/>
    </row>
    <row r="21" spans="1:45" x14ac:dyDescent="0.35">
      <c r="A21" s="226">
        <f t="shared" si="5"/>
        <v>45764</v>
      </c>
      <c r="B21" s="227">
        <f>YEAR(Daily_KPI[[#This Row],[Date]])+IF(MONTH(Daily_KPI[[#This Row],[Date]])&gt;=4,1,0)</f>
        <v>2026</v>
      </c>
      <c r="C21" s="6">
        <f>YEAR(Daily_KPI[[#This Row],[Date]])</f>
        <v>2025</v>
      </c>
      <c r="D21" s="228">
        <f>Daily_KPI[[#This Row],[Date]]-DAY(Daily_KPI[[#This Row],[Date]])+1</f>
        <v>45748</v>
      </c>
      <c r="E21" s="6">
        <f t="shared" si="0"/>
        <v>30</v>
      </c>
      <c r="F21" s="229">
        <f>IFERROR(_xlfn.XLOOKUP($A21,'Raw Data'!$A:$A,'Raw Data'!$BR:$BR),"")</f>
        <v>11.933333333333335</v>
      </c>
      <c r="G21" s="230">
        <f>IFERROR(_xlfn.XLOOKUP($A21,'Raw Data'!$A:$A,'Raw Data'!$AO:$AO),"")</f>
        <v>0</v>
      </c>
      <c r="H21" s="230"/>
      <c r="I21" s="230">
        <f>IFERROR(_xlfn.XLOOKUP($A21,'Raw Data'!$A:$A,'Raw Data'!$AR:$AR),"")</f>
        <v>6.1189505766062595</v>
      </c>
      <c r="J21" s="230"/>
      <c r="K21" s="230">
        <f>IFERROR(_xlfn.XLOOKUP($A21,'Raw Data'!$A:$A,'Raw Data'!$AV:$AV),"")</f>
        <v>0</v>
      </c>
      <c r="L21" s="230">
        <f>IFERROR(_xlfn.XLOOKUP($A21,'Raw Data'!$A:$A,'Raw Data'!$AW:$AW),"")</f>
        <v>0</v>
      </c>
      <c r="M21" s="230">
        <f>IFERROR(_xlfn.XLOOKUP($A21,'Raw Data'!$A:$A,'Raw Data'!$AX:$AX),"")</f>
        <v>0</v>
      </c>
      <c r="N21" s="230">
        <f>IFERROR(_xlfn.XLOOKUP($A21,'Raw Data'!$A:$A,'Raw Data'!$AY:$AY),"")</f>
        <v>0</v>
      </c>
      <c r="O21" s="231">
        <f>IFERROR(1-(SUMIF('Plant BD'!$B:$B,A21,'Plant BD'!$AE:$AE)/(AA21+SUMIF('Plant BD'!$B:$B,A21,'Plant BD'!$AE:$AE))),"")</f>
        <v>1</v>
      </c>
      <c r="P21" s="231"/>
      <c r="Q21" s="232"/>
      <c r="R21" s="231">
        <f>IFERROR(1-(SUMIF('Grid BD'!$B:$B,$A21,'Grid BD'!$AD:$AD)/($AA21+SUMIF('Grid BD'!$B:$B,$A21,'Grid BD'!AD:AD))),"")</f>
        <v>1</v>
      </c>
      <c r="S21" s="6"/>
      <c r="T21" s="232"/>
      <c r="U21" s="233">
        <f t="shared" si="4"/>
        <v>0.74605095205030159</v>
      </c>
      <c r="V21" s="233"/>
      <c r="W21" s="234">
        <f t="shared" si="2"/>
        <v>0.19021037096774338</v>
      </c>
      <c r="X21" s="227">
        <f>IFERROR(_xlfn.XLOOKUP($A21,'Raw Data'!$A:$A,'Raw Data'!$BA:$BA),"")</f>
        <v>113012</v>
      </c>
      <c r="Y21" s="227">
        <f>IFERROR(_xlfn.XLOOKUP($A21,'Raw Data'!$A:$A,'Raw Data'!BJ:BJ),"")</f>
        <v>111836.01999998791</v>
      </c>
      <c r="Z21" s="227">
        <f>IFERROR(_xlfn.XLOOKUP($A21,'Raw Data'!$A:$A,'Raw Data'!BK:BK),"")</f>
        <v>891.179999999963</v>
      </c>
      <c r="AA21" s="227">
        <f>IFERROR(_xlfn.XLOOKUP($A21,'Raw Data'!$A:$A,'Raw Data'!BL:BL),"")</f>
        <v>110944.83999998795</v>
      </c>
      <c r="AB21" s="227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27">
        <f>IFERROR(_xlfn.XLOOKUP($D21,'Modelling New'!$D:$D,'Modelling New'!$T:$T)*1000,"")</f>
        <v>120499.94015769019</v>
      </c>
      <c r="AE21" s="234">
        <f>IFERROR(_xlfn.XLOOKUP($D21,'Modelling New'!$D:$D,'Modelling New'!$O:$O),"")</f>
        <v>0.74859779740027077</v>
      </c>
      <c r="AF21" s="234">
        <f>IFERROR(_xlfn.XLOOKUP($D21,'Modelling New'!$D:$D,'Modelling New'!$W:$W),"")</f>
        <v>0.20659219769921358</v>
      </c>
      <c r="AG21" s="234">
        <f>IFERROR(_xlfn.XLOOKUP($D21,'Modelling New'!$D:$D,'Modelling New'!AE:AE),"")</f>
        <v>0.995</v>
      </c>
      <c r="AH21" s="234">
        <v>0.99750000000000005</v>
      </c>
      <c r="AI21" s="6"/>
      <c r="AJ21" s="6"/>
      <c r="AK21" s="6"/>
      <c r="AL21" s="6"/>
      <c r="AM21" s="6"/>
      <c r="AN21" s="231"/>
      <c r="AO21" s="234"/>
      <c r="AP21" s="234"/>
      <c r="AQ21" s="234"/>
      <c r="AR21" s="227">
        <f>IFERROR(_xlfn.XLOOKUP($D21,'Modelling New'!$D:$D,'Modelling New'!$N:$N),"")</f>
        <v>24.303100000000001</v>
      </c>
      <c r="AS21" s="227"/>
    </row>
    <row r="22" spans="1:45" x14ac:dyDescent="0.35">
      <c r="A22" s="226">
        <f t="shared" si="5"/>
        <v>45765</v>
      </c>
      <c r="B22" s="227">
        <f>YEAR(Daily_KPI[[#This Row],[Date]])+IF(MONTH(Daily_KPI[[#This Row],[Date]])&gt;=4,1,0)</f>
        <v>2026</v>
      </c>
      <c r="C22" s="6">
        <f>YEAR(Daily_KPI[[#This Row],[Date]])</f>
        <v>2025</v>
      </c>
      <c r="D22" s="228">
        <f>Daily_KPI[[#This Row],[Date]]-DAY(Daily_KPI[[#This Row],[Date]])+1</f>
        <v>45748</v>
      </c>
      <c r="E22" s="6">
        <f t="shared" si="0"/>
        <v>30</v>
      </c>
      <c r="F22" s="229">
        <f>IFERROR(_xlfn.XLOOKUP($A22,'Raw Data'!$A:$A,'Raw Data'!$BR:$BR),"")</f>
        <v>11.950000000000001</v>
      </c>
      <c r="G22" s="230">
        <f>IFERROR(_xlfn.XLOOKUP($A22,'Raw Data'!$A:$A,'Raw Data'!$AO:$AO),"")</f>
        <v>0</v>
      </c>
      <c r="H22" s="230"/>
      <c r="I22" s="230">
        <f>IFERROR(_xlfn.XLOOKUP($A22,'Raw Data'!$A:$A,'Raw Data'!$AR:$AR),"")</f>
        <v>6.6937034596375611</v>
      </c>
      <c r="J22" s="230"/>
      <c r="K22" s="230">
        <f>IFERROR(_xlfn.XLOOKUP($A22,'Raw Data'!$A:$A,'Raw Data'!$AV:$AV),"")</f>
        <v>0</v>
      </c>
      <c r="L22" s="230">
        <f>IFERROR(_xlfn.XLOOKUP($A22,'Raw Data'!$A:$A,'Raw Data'!$AW:$AW),"")</f>
        <v>0</v>
      </c>
      <c r="M22" s="230">
        <f>IFERROR(_xlfn.XLOOKUP($A22,'Raw Data'!$A:$A,'Raw Data'!$AX:$AX),"")</f>
        <v>0</v>
      </c>
      <c r="N22" s="230">
        <f>IFERROR(_xlfn.XLOOKUP($A22,'Raw Data'!$A:$A,'Raw Data'!$AY:$AY),"")</f>
        <v>0</v>
      </c>
      <c r="O22" s="231">
        <f>IFERROR(1-(SUMIF('Plant BD'!$B:$B,A22,'Plant BD'!$AE:$AE)/(AA22+SUMIF('Plant BD'!$B:$B,A22,'Plant BD'!$AE:$AE))),"")</f>
        <v>1</v>
      </c>
      <c r="P22" s="231"/>
      <c r="Q22" s="232"/>
      <c r="R22" s="231">
        <f>IFERROR(1-(SUMIF('Grid BD'!$B:$B,$A22,'Grid BD'!$AD:$AD)/($AA22+SUMIF('Grid BD'!$B:$B,$A22,'Grid BD'!AD:AD))),"")</f>
        <v>1</v>
      </c>
      <c r="S22" s="6"/>
      <c r="T22" s="232"/>
      <c r="U22" s="233">
        <f t="shared" si="4"/>
        <v>0.74743106585607499</v>
      </c>
      <c r="V22" s="233"/>
      <c r="W22" s="234">
        <f t="shared" si="2"/>
        <v>0.20846174630672495</v>
      </c>
      <c r="X22" s="227">
        <f>IFERROR(_xlfn.XLOOKUP($A22,'Raw Data'!$A:$A,'Raw Data'!$BA:$BA),"")</f>
        <v>123983</v>
      </c>
      <c r="Y22" s="227">
        <f>IFERROR(_xlfn.XLOOKUP($A22,'Raw Data'!$A:$A,'Raw Data'!BJ:BJ),"")</f>
        <v>122555.30000000726</v>
      </c>
      <c r="Z22" s="227">
        <f>IFERROR(_xlfn.XLOOKUP($A22,'Raw Data'!$A:$A,'Raw Data'!BK:BK),"")</f>
        <v>964.90000000005693</v>
      </c>
      <c r="AA22" s="227">
        <f>IFERROR(_xlfn.XLOOKUP($A22,'Raw Data'!$A:$A,'Raw Data'!BL:BL),"")</f>
        <v>121590.40000000721</v>
      </c>
      <c r="AB22" s="227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27">
        <f>IFERROR(_xlfn.XLOOKUP($D22,'Modelling New'!$D:$D,'Modelling New'!$T:$T)*1000,"")</f>
        <v>120499.94015769019</v>
      </c>
      <c r="AE22" s="234">
        <f>IFERROR(_xlfn.XLOOKUP($D22,'Modelling New'!$D:$D,'Modelling New'!$O:$O),"")</f>
        <v>0.74859779740027077</v>
      </c>
      <c r="AF22" s="234">
        <f>IFERROR(_xlfn.XLOOKUP($D22,'Modelling New'!$D:$D,'Modelling New'!$W:$W),"")</f>
        <v>0.20659219769921358</v>
      </c>
      <c r="AG22" s="234">
        <f>IFERROR(_xlfn.XLOOKUP($D22,'Modelling New'!$D:$D,'Modelling New'!AE:AE),"")</f>
        <v>0.995</v>
      </c>
      <c r="AH22" s="234">
        <v>0.99750000000000005</v>
      </c>
      <c r="AI22" s="6"/>
      <c r="AJ22" s="6"/>
      <c r="AK22" s="6"/>
      <c r="AL22" s="6"/>
      <c r="AM22" s="6"/>
      <c r="AN22" s="231"/>
      <c r="AO22" s="234"/>
      <c r="AP22" s="234"/>
      <c r="AQ22" s="234"/>
      <c r="AR22" s="227">
        <f>IFERROR(_xlfn.XLOOKUP($D22,'Modelling New'!$D:$D,'Modelling New'!$N:$N),"")</f>
        <v>24.303100000000001</v>
      </c>
      <c r="AS22" s="227"/>
    </row>
    <row r="23" spans="1:45" x14ac:dyDescent="0.35">
      <c r="A23" s="226">
        <f t="shared" si="5"/>
        <v>45766</v>
      </c>
      <c r="B23" s="227">
        <f>YEAR(Daily_KPI[[#This Row],[Date]])+IF(MONTH(Daily_KPI[[#This Row],[Date]])&gt;=4,1,0)</f>
        <v>2026</v>
      </c>
      <c r="C23" s="6">
        <f>YEAR(Daily_KPI[[#This Row],[Date]])</f>
        <v>2025</v>
      </c>
      <c r="D23" s="228">
        <f>Daily_KPI[[#This Row],[Date]]-DAY(Daily_KPI[[#This Row],[Date]])+1</f>
        <v>45748</v>
      </c>
      <c r="E23" s="6">
        <f t="shared" si="0"/>
        <v>30</v>
      </c>
      <c r="F23" s="229">
        <f>IFERROR(_xlfn.XLOOKUP($A23,'Raw Data'!$A:$A,'Raw Data'!$BR:$BR),"")</f>
        <v>12.050000000000002</v>
      </c>
      <c r="G23" s="230">
        <f>IFERROR(_xlfn.XLOOKUP($A23,'Raw Data'!$A:$A,'Raw Data'!$AO:$AO),"")</f>
        <v>0</v>
      </c>
      <c r="H23" s="230"/>
      <c r="I23" s="230">
        <f>IFERROR(_xlfn.XLOOKUP($A23,'Raw Data'!$A:$A,'Raw Data'!$AR:$AR),"")</f>
        <v>6.882638797364085</v>
      </c>
      <c r="J23" s="230"/>
      <c r="K23" s="230">
        <f>IFERROR(_xlfn.XLOOKUP($A23,'Raw Data'!$A:$A,'Raw Data'!$AV:$AV),"")</f>
        <v>0</v>
      </c>
      <c r="L23" s="230">
        <f>IFERROR(_xlfn.XLOOKUP($A23,'Raw Data'!$A:$A,'Raw Data'!$AW:$AW),"")</f>
        <v>0</v>
      </c>
      <c r="M23" s="230">
        <f>IFERROR(_xlfn.XLOOKUP($A23,'Raw Data'!$A:$A,'Raw Data'!$AX:$AX),"")</f>
        <v>0</v>
      </c>
      <c r="N23" s="230">
        <f>IFERROR(_xlfn.XLOOKUP($A23,'Raw Data'!$A:$A,'Raw Data'!$AY:$AY),"")</f>
        <v>0</v>
      </c>
      <c r="O23" s="231">
        <f>IFERROR(1-(SUMIF('Plant BD'!$B:$B,A23,'Plant BD'!$AE:$AE)/(AA23+SUMIF('Plant BD'!$B:$B,A23,'Plant BD'!$AE:$AE))),"")</f>
        <v>1</v>
      </c>
      <c r="P23" s="231"/>
      <c r="Q23" s="232"/>
      <c r="R23" s="231">
        <f>IFERROR(1-(SUMIF('Grid BD'!$B:$B,$A23,'Grid BD'!$AD:$AD)/($AA23+SUMIF('Grid BD'!$B:$B,$A23,'Grid BD'!AD:AD))),"")</f>
        <v>1</v>
      </c>
      <c r="S23" s="6"/>
      <c r="T23" s="232"/>
      <c r="U23" s="233">
        <f t="shared" si="4"/>
        <v>0.7443403044220861</v>
      </c>
      <c r="V23" s="233"/>
      <c r="W23" s="234">
        <f t="shared" si="2"/>
        <v>0.21345939406905184</v>
      </c>
      <c r="X23" s="227">
        <f>IFERROR(_xlfn.XLOOKUP($A23,'Raw Data'!$A:$A,'Raw Data'!$BA:$BA),"")</f>
        <v>126935</v>
      </c>
      <c r="Y23" s="227">
        <f>IFERROR(_xlfn.XLOOKUP($A23,'Raw Data'!$A:$A,'Raw Data'!BJ:BJ),"")</f>
        <v>125476.49999998976</v>
      </c>
      <c r="Z23" s="227">
        <f>IFERROR(_xlfn.XLOOKUP($A23,'Raw Data'!$A:$A,'Raw Data'!BK:BK),"")</f>
        <v>971.09999999997854</v>
      </c>
      <c r="AA23" s="227">
        <f>IFERROR(_xlfn.XLOOKUP($A23,'Raw Data'!$A:$A,'Raw Data'!BL:BL),"")</f>
        <v>124505.39999998978</v>
      </c>
      <c r="AB23" s="227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27">
        <f>IFERROR(_xlfn.XLOOKUP($D23,'Modelling New'!$D:$D,'Modelling New'!$T:$T)*1000,"")</f>
        <v>120499.94015769019</v>
      </c>
      <c r="AE23" s="234">
        <f>IFERROR(_xlfn.XLOOKUP($D23,'Modelling New'!$D:$D,'Modelling New'!$O:$O),"")</f>
        <v>0.74859779740027077</v>
      </c>
      <c r="AF23" s="234">
        <f>IFERROR(_xlfn.XLOOKUP($D23,'Modelling New'!$D:$D,'Modelling New'!$W:$W),"")</f>
        <v>0.20659219769921358</v>
      </c>
      <c r="AG23" s="234">
        <f>IFERROR(_xlfn.XLOOKUP($D23,'Modelling New'!$D:$D,'Modelling New'!AE:AE),"")</f>
        <v>0.995</v>
      </c>
      <c r="AH23" s="234">
        <v>0.99750000000000005</v>
      </c>
      <c r="AI23" s="6"/>
      <c r="AJ23" s="6"/>
      <c r="AK23" s="6"/>
      <c r="AL23" s="6"/>
      <c r="AM23" s="6"/>
      <c r="AN23" s="231"/>
      <c r="AO23" s="234"/>
      <c r="AP23" s="234"/>
      <c r="AQ23" s="234"/>
      <c r="AR23" s="227">
        <f>IFERROR(_xlfn.XLOOKUP($D23,'Modelling New'!$D:$D,'Modelling New'!$N:$N),"")</f>
        <v>24.303100000000001</v>
      </c>
      <c r="AS23" s="227"/>
    </row>
    <row r="24" spans="1:45" x14ac:dyDescent="0.35">
      <c r="A24" s="226">
        <f t="shared" si="5"/>
        <v>45767</v>
      </c>
      <c r="B24" s="227">
        <f>YEAR(Daily_KPI[[#This Row],[Date]])+IF(MONTH(Daily_KPI[[#This Row],[Date]])&gt;=4,1,0)</f>
        <v>2026</v>
      </c>
      <c r="C24" s="6">
        <f>YEAR(Daily_KPI[[#This Row],[Date]])</f>
        <v>2025</v>
      </c>
      <c r="D24" s="228">
        <f>Daily_KPI[[#This Row],[Date]]-DAY(Daily_KPI[[#This Row],[Date]])+1</f>
        <v>45748</v>
      </c>
      <c r="E24" s="6">
        <f t="shared" si="0"/>
        <v>30</v>
      </c>
      <c r="F24" s="229">
        <f>IFERROR(_xlfn.XLOOKUP($A24,'Raw Data'!$A:$A,'Raw Data'!$BR:$BR),"")</f>
        <v>11.950000000000001</v>
      </c>
      <c r="G24" s="230">
        <f>IFERROR(_xlfn.XLOOKUP($A24,'Raw Data'!$A:$A,'Raw Data'!$AO:$AO),"")</f>
        <v>0</v>
      </c>
      <c r="H24" s="230"/>
      <c r="I24" s="230">
        <f>IFERROR(_xlfn.XLOOKUP($A24,'Raw Data'!$A:$A,'Raw Data'!$AR:$AR),"")</f>
        <v>7.0947528830313011</v>
      </c>
      <c r="J24" s="230"/>
      <c r="K24" s="230">
        <f>IFERROR(_xlfn.XLOOKUP($A24,'Raw Data'!$A:$A,'Raw Data'!$AV:$AV),"")</f>
        <v>0</v>
      </c>
      <c r="L24" s="230">
        <f>IFERROR(_xlfn.XLOOKUP($A24,'Raw Data'!$A:$A,'Raw Data'!$AW:$AW),"")</f>
        <v>0</v>
      </c>
      <c r="M24" s="230">
        <f>IFERROR(_xlfn.XLOOKUP($A24,'Raw Data'!$A:$A,'Raw Data'!$AX:$AX),"")</f>
        <v>0</v>
      </c>
      <c r="N24" s="230">
        <f>IFERROR(_xlfn.XLOOKUP($A24,'Raw Data'!$A:$A,'Raw Data'!$AY:$AY),"")</f>
        <v>0</v>
      </c>
      <c r="O24" s="231">
        <f>IFERROR(1-(SUMIF('Plant BD'!$B:$B,A24,'Plant BD'!$AE:$AE)/(AA24+SUMIF('Plant BD'!$B:$B,A24,'Plant BD'!$AE:$AE))),"")</f>
        <v>1</v>
      </c>
      <c r="P24" s="231"/>
      <c r="Q24" s="232"/>
      <c r="R24" s="231">
        <f>IFERROR(1-(SUMIF('Grid BD'!$B:$B,$A24,'Grid BD'!$AD:$AD)/($AA24+SUMIF('Grid BD'!$B:$B,$A24,'Grid BD'!AD:AD))),"")</f>
        <v>1</v>
      </c>
      <c r="S24" s="6"/>
      <c r="T24" s="232"/>
      <c r="U24" s="233">
        <f t="shared" si="4"/>
        <v>0.73894317966641254</v>
      </c>
      <c r="V24" s="233"/>
      <c r="W24" s="234">
        <f t="shared" si="2"/>
        <v>0.21844246893060823</v>
      </c>
      <c r="X24" s="227">
        <f>IFERROR(_xlfn.XLOOKUP($A24,'Raw Data'!$A:$A,'Raw Data'!$BA:$BA),"")</f>
        <v>129867</v>
      </c>
      <c r="Y24" s="227">
        <f>IFERROR(_xlfn.XLOOKUP($A24,'Raw Data'!$A:$A,'Raw Data'!BJ:BJ),"")</f>
        <v>128399.30000001914</v>
      </c>
      <c r="Z24" s="227">
        <f>IFERROR(_xlfn.XLOOKUP($A24,'Raw Data'!$A:$A,'Raw Data'!BK:BK),"")</f>
        <v>987.39999999997963</v>
      </c>
      <c r="AA24" s="227">
        <f>IFERROR(_xlfn.XLOOKUP($A24,'Raw Data'!$A:$A,'Raw Data'!BL:BL),"")</f>
        <v>127411.90000001916</v>
      </c>
      <c r="AB24" s="227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27">
        <f>IFERROR(_xlfn.XLOOKUP($D24,'Modelling New'!$D:$D,'Modelling New'!$T:$T)*1000,"")</f>
        <v>120499.94015769019</v>
      </c>
      <c r="AE24" s="234">
        <f>IFERROR(_xlfn.XLOOKUP($D24,'Modelling New'!$D:$D,'Modelling New'!$O:$O),"")</f>
        <v>0.74859779740027077</v>
      </c>
      <c r="AF24" s="234">
        <f>IFERROR(_xlfn.XLOOKUP($D24,'Modelling New'!$D:$D,'Modelling New'!$W:$W),"")</f>
        <v>0.20659219769921358</v>
      </c>
      <c r="AG24" s="234">
        <f>IFERROR(_xlfn.XLOOKUP($D24,'Modelling New'!$D:$D,'Modelling New'!AE:AE),"")</f>
        <v>0.995</v>
      </c>
      <c r="AH24" s="234">
        <v>0.99750000000000005</v>
      </c>
      <c r="AI24" s="6"/>
      <c r="AJ24" s="6"/>
      <c r="AK24" s="6"/>
      <c r="AL24" s="6"/>
      <c r="AM24" s="6"/>
      <c r="AN24" s="231"/>
      <c r="AO24" s="234"/>
      <c r="AP24" s="234"/>
      <c r="AQ24" s="234"/>
      <c r="AR24" s="227">
        <f>IFERROR(_xlfn.XLOOKUP($D24,'Modelling New'!$D:$D,'Modelling New'!$N:$N),"")</f>
        <v>24.303100000000001</v>
      </c>
      <c r="AS24" s="227"/>
    </row>
    <row r="25" spans="1:45" x14ac:dyDescent="0.35">
      <c r="A25" s="226">
        <f t="shared" si="5"/>
        <v>45768</v>
      </c>
      <c r="B25" s="227">
        <f>YEAR(Daily_KPI[[#This Row],[Date]])+IF(MONTH(Daily_KPI[[#This Row],[Date]])&gt;=4,1,0)</f>
        <v>2026</v>
      </c>
      <c r="C25" s="6">
        <f>YEAR(Daily_KPI[[#This Row],[Date]])</f>
        <v>2025</v>
      </c>
      <c r="D25" s="228">
        <f>Daily_KPI[[#This Row],[Date]]-DAY(Daily_KPI[[#This Row],[Date]])+1</f>
        <v>45748</v>
      </c>
      <c r="E25" s="6">
        <f t="shared" si="0"/>
        <v>30</v>
      </c>
      <c r="F25" s="229">
        <f>IFERROR(_xlfn.XLOOKUP($A25,'Raw Data'!$A:$A,'Raw Data'!$BR:$BR),"")</f>
        <v>12.150000000000002</v>
      </c>
      <c r="G25" s="230">
        <f>IFERROR(_xlfn.XLOOKUP($A25,'Raw Data'!$A:$A,'Raw Data'!$AO:$AO),"")</f>
        <v>0</v>
      </c>
      <c r="H25" s="230"/>
      <c r="I25" s="230">
        <f>IFERROR(_xlfn.XLOOKUP($A25,'Raw Data'!$A:$A,'Raw Data'!$AR:$AR),"")</f>
        <v>6.9852775947281707</v>
      </c>
      <c r="J25" s="230"/>
      <c r="K25" s="230">
        <f>IFERROR(_xlfn.XLOOKUP($A25,'Raw Data'!$A:$A,'Raw Data'!$AV:$AV),"")</f>
        <v>0</v>
      </c>
      <c r="L25" s="230">
        <f>IFERROR(_xlfn.XLOOKUP($A25,'Raw Data'!$A:$A,'Raw Data'!$AW:$AW),"")</f>
        <v>0</v>
      </c>
      <c r="M25" s="230">
        <f>IFERROR(_xlfn.XLOOKUP($A25,'Raw Data'!$A:$A,'Raw Data'!$AX:$AX),"")</f>
        <v>0</v>
      </c>
      <c r="N25" s="230">
        <f>IFERROR(_xlfn.XLOOKUP($A25,'Raw Data'!$A:$A,'Raw Data'!$AY:$AY),"")</f>
        <v>0</v>
      </c>
      <c r="O25" s="231">
        <f>IFERROR(1-(SUMIF('Plant BD'!$B:$B,A25,'Plant BD'!$AE:$AE)/(AA25+SUMIF('Plant BD'!$B:$B,A25,'Plant BD'!$AE:$AE))),"")</f>
        <v>1</v>
      </c>
      <c r="P25" s="231"/>
      <c r="Q25" s="232"/>
      <c r="R25" s="231">
        <f>IFERROR(1-(SUMIF('Grid BD'!$B:$B,$A25,'Grid BD'!$AD:$AD)/($AA25+SUMIF('Grid BD'!$B:$B,$A25,'Grid BD'!AD:AD))),"")</f>
        <v>1</v>
      </c>
      <c r="S25" s="6"/>
      <c r="T25" s="232"/>
      <c r="U25" s="233">
        <f t="shared" si="4"/>
        <v>0.7371378724483052</v>
      </c>
      <c r="V25" s="233"/>
      <c r="W25" s="234">
        <f t="shared" si="2"/>
        <v>0.21454636102661409</v>
      </c>
      <c r="X25" s="227">
        <f>IFERROR(_xlfn.XLOOKUP($A25,'Raw Data'!$A:$A,'Raw Data'!$BA:$BA),"")</f>
        <v>127429</v>
      </c>
      <c r="Y25" s="227">
        <f>IFERROR(_xlfn.XLOOKUP($A25,'Raw Data'!$A:$A,'Raw Data'!BJ:BJ),"")</f>
        <v>125960.39999998175</v>
      </c>
      <c r="Z25" s="227">
        <f>IFERROR(_xlfn.XLOOKUP($A25,'Raw Data'!$A:$A,'Raw Data'!BK:BK),"")</f>
        <v>821.00000000002638</v>
      </c>
      <c r="AA25" s="227">
        <f>IFERROR(_xlfn.XLOOKUP($A25,'Raw Data'!$A:$A,'Raw Data'!BL:BL),"")</f>
        <v>125139.39999998172</v>
      </c>
      <c r="AB25" s="227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27">
        <f>IFERROR(_xlfn.XLOOKUP($D25,'Modelling New'!$D:$D,'Modelling New'!$T:$T)*1000,"")</f>
        <v>120499.94015769019</v>
      </c>
      <c r="AE25" s="234">
        <f>IFERROR(_xlfn.XLOOKUP($D25,'Modelling New'!$D:$D,'Modelling New'!$O:$O),"")</f>
        <v>0.74859779740027077</v>
      </c>
      <c r="AF25" s="234">
        <f>IFERROR(_xlfn.XLOOKUP($D25,'Modelling New'!$D:$D,'Modelling New'!$W:$W),"")</f>
        <v>0.20659219769921358</v>
      </c>
      <c r="AG25" s="234">
        <f>IFERROR(_xlfn.XLOOKUP($D25,'Modelling New'!$D:$D,'Modelling New'!AE:AE),"")</f>
        <v>0.995</v>
      </c>
      <c r="AH25" s="234">
        <v>0.99750000000000005</v>
      </c>
      <c r="AI25" s="6"/>
      <c r="AJ25" s="6"/>
      <c r="AK25" s="6"/>
      <c r="AL25" s="6"/>
      <c r="AM25" s="6"/>
      <c r="AN25" s="231"/>
      <c r="AO25" s="234"/>
      <c r="AP25" s="234"/>
      <c r="AQ25" s="234"/>
      <c r="AR25" s="227">
        <f>IFERROR(_xlfn.XLOOKUP($D25,'Modelling New'!$D:$D,'Modelling New'!$N:$N),"")</f>
        <v>24.303100000000001</v>
      </c>
      <c r="AS25" s="227"/>
    </row>
    <row r="26" spans="1:45" x14ac:dyDescent="0.35">
      <c r="A26" s="226">
        <f t="shared" si="5"/>
        <v>45769</v>
      </c>
      <c r="B26" s="227">
        <f>YEAR(Daily_KPI[[#This Row],[Date]])+IF(MONTH(Daily_KPI[[#This Row],[Date]])&gt;=4,1,0)</f>
        <v>2026</v>
      </c>
      <c r="C26" s="6">
        <f>YEAR(Daily_KPI[[#This Row],[Date]])</f>
        <v>2025</v>
      </c>
      <c r="D26" s="228">
        <f>Daily_KPI[[#This Row],[Date]]-DAY(Daily_KPI[[#This Row],[Date]])+1</f>
        <v>45748</v>
      </c>
      <c r="E26" s="6">
        <f t="shared" si="0"/>
        <v>30</v>
      </c>
      <c r="F26" s="229">
        <f>IFERROR(_xlfn.XLOOKUP($A26,'Raw Data'!$A:$A,'Raw Data'!$BR:$BR),"")</f>
        <v>12.083333333333336</v>
      </c>
      <c r="G26" s="230">
        <f>IFERROR(_xlfn.XLOOKUP($A26,'Raw Data'!$A:$A,'Raw Data'!$AO:$AO),"")</f>
        <v>0</v>
      </c>
      <c r="H26" s="230"/>
      <c r="I26" s="230">
        <f>IFERROR(_xlfn.XLOOKUP($A26,'Raw Data'!$A:$A,'Raw Data'!$AR:$AR),"")</f>
        <v>6.8710646622734757</v>
      </c>
      <c r="J26" s="230"/>
      <c r="K26" s="230">
        <f>IFERROR(_xlfn.XLOOKUP($A26,'Raw Data'!$A:$A,'Raw Data'!$AV:$AV),"")</f>
        <v>0</v>
      </c>
      <c r="L26" s="230">
        <f>IFERROR(_xlfn.XLOOKUP($A26,'Raw Data'!$A:$A,'Raw Data'!$AW:$AW),"")</f>
        <v>0</v>
      </c>
      <c r="M26" s="230">
        <f>IFERROR(_xlfn.XLOOKUP($A26,'Raw Data'!$A:$A,'Raw Data'!$AX:$AX),"")</f>
        <v>0</v>
      </c>
      <c r="N26" s="230">
        <f>IFERROR(_xlfn.XLOOKUP($A26,'Raw Data'!$A:$A,'Raw Data'!$AY:$AY),"")</f>
        <v>0</v>
      </c>
      <c r="O26" s="231">
        <f>IFERROR(1-(SUMIF('Plant BD'!$B:$B,A26,'Plant BD'!$AE:$AE)/(AA26+SUMIF('Plant BD'!$B:$B,A26,'Plant BD'!$AE:$AE))),"")</f>
        <v>1</v>
      </c>
      <c r="P26" s="231"/>
      <c r="Q26" s="232"/>
      <c r="R26" s="231">
        <f>IFERROR(1-(SUMIF('Grid BD'!$B:$B,$A26,'Grid BD'!$AD:$AD)/($AA26+SUMIF('Grid BD'!$B:$B,$A26,'Grid BD'!AD:AD))),"")</f>
        <v>1</v>
      </c>
      <c r="S26" s="6"/>
      <c r="T26" s="232"/>
      <c r="U26" s="233">
        <f t="shared" si="4"/>
        <v>0.72848093873379127</v>
      </c>
      <c r="V26" s="233"/>
      <c r="W26" s="234">
        <f t="shared" si="2"/>
        <v>0.20855998480306509</v>
      </c>
      <c r="X26" s="227">
        <f>IFERROR(_xlfn.XLOOKUP($A26,'Raw Data'!$A:$A,'Raw Data'!$BA:$BA),"")</f>
        <v>124065</v>
      </c>
      <c r="Y26" s="227">
        <f>IFERROR(_xlfn.XLOOKUP($A26,'Raw Data'!$A:$A,'Raw Data'!BJ:BJ),"")</f>
        <v>122641.9000000169</v>
      </c>
      <c r="Z26" s="227">
        <f>IFERROR(_xlfn.XLOOKUP($A26,'Raw Data'!$A:$A,'Raw Data'!BK:BK),"")</f>
        <v>994.19999999997799</v>
      </c>
      <c r="AA26" s="227">
        <f>IFERROR(_xlfn.XLOOKUP($A26,'Raw Data'!$A:$A,'Raw Data'!BL:BL),"")</f>
        <v>121647.70000001692</v>
      </c>
      <c r="AB26" s="227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27">
        <f>IFERROR(_xlfn.XLOOKUP($D26,'Modelling New'!$D:$D,'Modelling New'!$T:$T)*1000,"")</f>
        <v>120499.94015769019</v>
      </c>
      <c r="AE26" s="234">
        <f>IFERROR(_xlfn.XLOOKUP($D26,'Modelling New'!$D:$D,'Modelling New'!$O:$O),"")</f>
        <v>0.74859779740027077</v>
      </c>
      <c r="AF26" s="234">
        <f>IFERROR(_xlfn.XLOOKUP($D26,'Modelling New'!$D:$D,'Modelling New'!$W:$W),"")</f>
        <v>0.20659219769921358</v>
      </c>
      <c r="AG26" s="234">
        <f>IFERROR(_xlfn.XLOOKUP($D26,'Modelling New'!$D:$D,'Modelling New'!AE:AE),"")</f>
        <v>0.995</v>
      </c>
      <c r="AH26" s="234">
        <v>0.99750000000000005</v>
      </c>
      <c r="AI26" s="6"/>
      <c r="AJ26" s="6"/>
      <c r="AK26" s="6"/>
      <c r="AL26" s="6"/>
      <c r="AM26" s="6"/>
      <c r="AN26" s="231"/>
      <c r="AO26" s="234"/>
      <c r="AP26" s="234"/>
      <c r="AQ26" s="234"/>
      <c r="AR26" s="227">
        <f>IFERROR(_xlfn.XLOOKUP($D26,'Modelling New'!$D:$D,'Modelling New'!$N:$N),"")</f>
        <v>24.303100000000001</v>
      </c>
      <c r="AS26" s="227"/>
    </row>
    <row r="27" spans="1:45" x14ac:dyDescent="0.35">
      <c r="A27" s="226">
        <f t="shared" si="5"/>
        <v>45770</v>
      </c>
      <c r="B27" s="227">
        <f>YEAR(Daily_KPI[[#This Row],[Date]])+IF(MONTH(Daily_KPI[[#This Row],[Date]])&gt;=4,1,0)</f>
        <v>2026</v>
      </c>
      <c r="C27" s="6">
        <f>YEAR(Daily_KPI[[#This Row],[Date]])</f>
        <v>2025</v>
      </c>
      <c r="D27" s="228">
        <f>Daily_KPI[[#This Row],[Date]]-DAY(Daily_KPI[[#This Row],[Date]])+1</f>
        <v>45748</v>
      </c>
      <c r="E27" s="6">
        <f t="shared" si="0"/>
        <v>30</v>
      </c>
      <c r="F27" s="229">
        <f>IFERROR(_xlfn.XLOOKUP($A27,'Raw Data'!$A:$A,'Raw Data'!$BR:$BR),"")</f>
        <v>12.066666666666666</v>
      </c>
      <c r="G27" s="230">
        <f>IFERROR(_xlfn.XLOOKUP($A27,'Raw Data'!$A:$A,'Raw Data'!$AO:$AO),"")</f>
        <v>0</v>
      </c>
      <c r="H27" s="230"/>
      <c r="I27" s="230">
        <f>IFERROR(_xlfn.XLOOKUP($A27,'Raw Data'!$A:$A,'Raw Data'!$AR:$AR),"")</f>
        <v>6.7994905271828667</v>
      </c>
      <c r="J27" s="230"/>
      <c r="K27" s="230">
        <f>IFERROR(_xlfn.XLOOKUP($A27,'Raw Data'!$A:$A,'Raw Data'!$AV:$AV),"")</f>
        <v>0</v>
      </c>
      <c r="L27" s="230">
        <f>IFERROR(_xlfn.XLOOKUP($A27,'Raw Data'!$A:$A,'Raw Data'!$AW:$AW),"")</f>
        <v>0</v>
      </c>
      <c r="M27" s="230">
        <f>IFERROR(_xlfn.XLOOKUP($A27,'Raw Data'!$A:$A,'Raw Data'!$AX:$AX),"")</f>
        <v>0</v>
      </c>
      <c r="N27" s="230">
        <f>IFERROR(_xlfn.XLOOKUP($A27,'Raw Data'!$A:$A,'Raw Data'!$AY:$AY),"")</f>
        <v>0</v>
      </c>
      <c r="O27" s="231">
        <f>IFERROR(1-(SUMIF('Plant BD'!$B:$B,A27,'Plant BD'!$AE:$AE)/(AA27+SUMIF('Plant BD'!$B:$B,A27,'Plant BD'!$AE:$AE))),"")</f>
        <v>0.99962513184925517</v>
      </c>
      <c r="P27" s="231"/>
      <c r="Q27" s="232"/>
      <c r="R27" s="231">
        <f>IFERROR(1-(SUMIF('Grid BD'!$B:$B,$A27,'Grid BD'!$AD:$AD)/($AA27+SUMIF('Grid BD'!$B:$B,$A27,'Grid BD'!AD:AD))),"")</f>
        <v>1</v>
      </c>
      <c r="S27" s="6"/>
      <c r="T27" s="232"/>
      <c r="U27" s="233">
        <f t="shared" si="4"/>
        <v>0.73137520170299064</v>
      </c>
      <c r="V27" s="233"/>
      <c r="W27" s="234">
        <f t="shared" si="2"/>
        <v>0.20720744815816433</v>
      </c>
      <c r="X27" s="227">
        <f>IFERROR(_xlfn.XLOOKUP($A27,'Raw Data'!$A:$A,'Raw Data'!$BA:$BA),"")</f>
        <v>123397</v>
      </c>
      <c r="Y27" s="227">
        <f>IFERROR(_xlfn.XLOOKUP($A27,'Raw Data'!$A:$A,'Raw Data'!BJ:BJ),"")</f>
        <v>121851.9999999844</v>
      </c>
      <c r="Z27" s="227">
        <f>IFERROR(_xlfn.XLOOKUP($A27,'Raw Data'!$A:$A,'Raw Data'!BK:BK),"")</f>
        <v>993.20000000000164</v>
      </c>
      <c r="AA27" s="227">
        <f>IFERROR(_xlfn.XLOOKUP($A27,'Raw Data'!$A:$A,'Raw Data'!BL:BL),"")</f>
        <v>120858.7999999844</v>
      </c>
      <c r="AB27" s="227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27">
        <f>IFERROR(_xlfn.XLOOKUP($D27,'Modelling New'!$D:$D,'Modelling New'!$T:$T)*1000,"")</f>
        <v>120499.94015769019</v>
      </c>
      <c r="AE27" s="234">
        <f>IFERROR(_xlfn.XLOOKUP($D27,'Modelling New'!$D:$D,'Modelling New'!$O:$O),"")</f>
        <v>0.74859779740027077</v>
      </c>
      <c r="AF27" s="234">
        <f>IFERROR(_xlfn.XLOOKUP($D27,'Modelling New'!$D:$D,'Modelling New'!$W:$W),"")</f>
        <v>0.20659219769921358</v>
      </c>
      <c r="AG27" s="234">
        <f>IFERROR(_xlfn.XLOOKUP($D27,'Modelling New'!$D:$D,'Modelling New'!AE:AE),"")</f>
        <v>0.995</v>
      </c>
      <c r="AH27" s="234">
        <v>0.99750000000000005</v>
      </c>
      <c r="AI27" s="6"/>
      <c r="AJ27" s="6"/>
      <c r="AK27" s="6"/>
      <c r="AL27" s="6"/>
      <c r="AM27" s="6"/>
      <c r="AN27" s="231"/>
      <c r="AO27" s="234"/>
      <c r="AP27" s="234"/>
      <c r="AQ27" s="234"/>
      <c r="AR27" s="227">
        <f>IFERROR(_xlfn.XLOOKUP($D27,'Modelling New'!$D:$D,'Modelling New'!$N:$N),"")</f>
        <v>24.303100000000001</v>
      </c>
      <c r="AS27" s="227"/>
    </row>
    <row r="28" spans="1:45" x14ac:dyDescent="0.35">
      <c r="A28" s="226">
        <f t="shared" si="5"/>
        <v>45771</v>
      </c>
      <c r="B28" s="227">
        <f>YEAR(Daily_KPI[[#This Row],[Date]])+IF(MONTH(Daily_KPI[[#This Row],[Date]])&gt;=4,1,0)</f>
        <v>2026</v>
      </c>
      <c r="C28" s="6">
        <f>YEAR(Daily_KPI[[#This Row],[Date]])</f>
        <v>2025</v>
      </c>
      <c r="D28" s="228">
        <f>Daily_KPI[[#This Row],[Date]]-DAY(Daily_KPI[[#This Row],[Date]])+1</f>
        <v>45748</v>
      </c>
      <c r="E28" s="6">
        <f t="shared" si="0"/>
        <v>30</v>
      </c>
      <c r="F28" s="229">
        <f>IFERROR(_xlfn.XLOOKUP($A28,'Raw Data'!$A:$A,'Raw Data'!$BR:$BR),"")</f>
        <v>12.150000000000002</v>
      </c>
      <c r="G28" s="230">
        <f>IFERROR(_xlfn.XLOOKUP($A28,'Raw Data'!$A:$A,'Raw Data'!$AO:$AO),"")</f>
        <v>0</v>
      </c>
      <c r="H28" s="230"/>
      <c r="I28" s="230">
        <f>IFERROR(_xlfn.XLOOKUP($A28,'Raw Data'!$A:$A,'Raw Data'!$AR:$AR),"")</f>
        <v>6.5423712108731458</v>
      </c>
      <c r="J28" s="230"/>
      <c r="K28" s="230">
        <f>IFERROR(_xlfn.XLOOKUP($A28,'Raw Data'!$A:$A,'Raw Data'!$AV:$AV),"")</f>
        <v>0</v>
      </c>
      <c r="L28" s="230">
        <f>IFERROR(_xlfn.XLOOKUP($A28,'Raw Data'!$A:$A,'Raw Data'!$AW:$AW),"")</f>
        <v>0</v>
      </c>
      <c r="M28" s="230">
        <f>IFERROR(_xlfn.XLOOKUP($A28,'Raw Data'!$A:$A,'Raw Data'!$AX:$AX),"")</f>
        <v>0</v>
      </c>
      <c r="N28" s="230">
        <f>IFERROR(_xlfn.XLOOKUP($A28,'Raw Data'!$A:$A,'Raw Data'!$AY:$AY),"")</f>
        <v>0</v>
      </c>
      <c r="O28" s="231">
        <f>IFERROR(1-(SUMIF('Plant BD'!$B:$B,A28,'Plant BD'!$AE:$AE)/(AA28+SUMIF('Plant BD'!$B:$B,A28,'Plant BD'!$AE:$AE))),"")</f>
        <v>1</v>
      </c>
      <c r="P28" s="231"/>
      <c r="Q28" s="232"/>
      <c r="R28" s="231">
        <f>IFERROR(1-(SUMIF('Grid BD'!$B:$B,$A28,'Grid BD'!$AD:$AD)/($AA28+SUMIF('Grid BD'!$B:$B,$A28,'Grid BD'!AD:AD))),"")</f>
        <v>1</v>
      </c>
      <c r="S28" s="6"/>
      <c r="T28" s="232"/>
      <c r="U28" s="233">
        <f t="shared" si="4"/>
        <v>0.75754637993721485</v>
      </c>
      <c r="V28" s="233"/>
      <c r="W28" s="234">
        <f t="shared" si="2"/>
        <v>0.20650623445843352</v>
      </c>
      <c r="X28" s="227">
        <f>IFERROR(_xlfn.XLOOKUP($A28,'Raw Data'!$A:$A,'Raw Data'!$BA:$BA),"")</f>
        <v>122817</v>
      </c>
      <c r="Y28" s="227">
        <f>IFERROR(_xlfn.XLOOKUP($A28,'Raw Data'!$A:$A,'Raw Data'!BJ:BJ),"")</f>
        <v>121416.10000000219</v>
      </c>
      <c r="Z28" s="227">
        <f>IFERROR(_xlfn.XLOOKUP($A28,'Raw Data'!$A:$A,'Raw Data'!BK:BK),"")</f>
        <v>966.30000000004657</v>
      </c>
      <c r="AA28" s="227">
        <f>IFERROR(_xlfn.XLOOKUP($A28,'Raw Data'!$A:$A,'Raw Data'!BL:BL),"")</f>
        <v>120449.80000000214</v>
      </c>
      <c r="AB28" s="227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27">
        <f>IFERROR(_xlfn.XLOOKUP($D28,'Modelling New'!$D:$D,'Modelling New'!$T:$T)*1000,"")</f>
        <v>120499.94015769019</v>
      </c>
      <c r="AE28" s="234">
        <f>IFERROR(_xlfn.XLOOKUP($D28,'Modelling New'!$D:$D,'Modelling New'!$O:$O),"")</f>
        <v>0.74859779740027077</v>
      </c>
      <c r="AF28" s="234">
        <f>IFERROR(_xlfn.XLOOKUP($D28,'Modelling New'!$D:$D,'Modelling New'!$W:$W),"")</f>
        <v>0.20659219769921358</v>
      </c>
      <c r="AG28" s="234">
        <f>IFERROR(_xlfn.XLOOKUP($D28,'Modelling New'!$D:$D,'Modelling New'!AE:AE),"")</f>
        <v>0.995</v>
      </c>
      <c r="AH28" s="234">
        <v>0.99750000000000005</v>
      </c>
      <c r="AI28" s="6"/>
      <c r="AJ28" s="6"/>
      <c r="AK28" s="6"/>
      <c r="AL28" s="6"/>
      <c r="AM28" s="6"/>
      <c r="AN28" s="231"/>
      <c r="AO28" s="234"/>
      <c r="AP28" s="234"/>
      <c r="AQ28" s="234"/>
      <c r="AR28" s="227">
        <f>IFERROR(_xlfn.XLOOKUP($D28,'Modelling New'!$D:$D,'Modelling New'!$N:$N),"")</f>
        <v>24.303100000000001</v>
      </c>
      <c r="AS28" s="227"/>
    </row>
    <row r="29" spans="1:45" x14ac:dyDescent="0.35">
      <c r="A29" s="226">
        <f t="shared" si="5"/>
        <v>45772</v>
      </c>
      <c r="B29" s="227">
        <f>YEAR(Daily_KPI[[#This Row],[Date]])+IF(MONTH(Daily_KPI[[#This Row],[Date]])&gt;=4,1,0)</f>
        <v>2026</v>
      </c>
      <c r="C29" s="6">
        <f>YEAR(Daily_KPI[[#This Row],[Date]])</f>
        <v>2025</v>
      </c>
      <c r="D29" s="228">
        <f>Daily_KPI[[#This Row],[Date]]-DAY(Daily_KPI[[#This Row],[Date]])+1</f>
        <v>45748</v>
      </c>
      <c r="E29" s="6">
        <f t="shared" si="0"/>
        <v>30</v>
      </c>
      <c r="F29" s="229">
        <f>IFERROR(_xlfn.XLOOKUP($A29,'Raw Data'!$A:$A,'Raw Data'!$BR:$BR),"")</f>
        <v>12.033333333333333</v>
      </c>
      <c r="G29" s="230">
        <f>IFERROR(_xlfn.XLOOKUP($A29,'Raw Data'!$A:$A,'Raw Data'!$AO:$AO),"")</f>
        <v>0</v>
      </c>
      <c r="H29" s="230"/>
      <c r="I29" s="230">
        <f>IFERROR(_xlfn.XLOOKUP($A29,'Raw Data'!$A:$A,'Raw Data'!$AR:$AR),"")</f>
        <v>6.2895771828665561</v>
      </c>
      <c r="J29" s="230"/>
      <c r="K29" s="230">
        <f>IFERROR(_xlfn.XLOOKUP($A29,'Raw Data'!$A:$A,'Raw Data'!$AV:$AV),"")</f>
        <v>0</v>
      </c>
      <c r="L29" s="230">
        <f>IFERROR(_xlfn.XLOOKUP($A29,'Raw Data'!$A:$A,'Raw Data'!$AW:$AW),"")</f>
        <v>0</v>
      </c>
      <c r="M29" s="230">
        <f>IFERROR(_xlfn.XLOOKUP($A29,'Raw Data'!$A:$A,'Raw Data'!$AX:$AX),"")</f>
        <v>0</v>
      </c>
      <c r="N29" s="230">
        <f>IFERROR(_xlfn.XLOOKUP($A29,'Raw Data'!$A:$A,'Raw Data'!$AY:$AY),"")</f>
        <v>0</v>
      </c>
      <c r="O29" s="231">
        <f>IFERROR(1-(SUMIF('Plant BD'!$B:$B,A29,'Plant BD'!$AE:$AE)/(AA29+SUMIF('Plant BD'!$B:$B,A29,'Plant BD'!$AE:$AE))),"")</f>
        <v>0.99926271532780986</v>
      </c>
      <c r="P29" s="231"/>
      <c r="Q29" s="232"/>
      <c r="R29" s="231">
        <f>IFERROR(1-(SUMIF('Grid BD'!$B:$B,$A29,'Grid BD'!$AD:$AD)/($AA29+SUMIF('Grid BD'!$B:$B,$A29,'Grid BD'!AD:AD))),"")</f>
        <v>1</v>
      </c>
      <c r="S29" s="6"/>
      <c r="T29" s="232"/>
      <c r="U29" s="233">
        <f t="shared" si="4"/>
        <v>0.75063087111061966</v>
      </c>
      <c r="V29" s="233"/>
      <c r="W29" s="234">
        <f t="shared" si="2"/>
        <v>0.19671461665385834</v>
      </c>
      <c r="X29" s="227">
        <f>IFERROR(_xlfn.XLOOKUP($A29,'Raw Data'!$A:$A,'Raw Data'!$BA:$BA),"")</f>
        <v>116766</v>
      </c>
      <c r="Y29" s="227">
        <f>IFERROR(_xlfn.XLOOKUP($A29,'Raw Data'!$A:$A,'Raw Data'!BJ:BJ),"")</f>
        <v>115519.80000000913</v>
      </c>
      <c r="Z29" s="227">
        <f>IFERROR(_xlfn.XLOOKUP($A29,'Raw Data'!$A:$A,'Raw Data'!BK:BK),"")</f>
        <v>781.19999999989886</v>
      </c>
      <c r="AA29" s="227">
        <f>IFERROR(_xlfn.XLOOKUP($A29,'Raw Data'!$A:$A,'Raw Data'!BL:BL),"")</f>
        <v>114738.60000000923</v>
      </c>
      <c r="AB29" s="227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27">
        <f>IFERROR(_xlfn.XLOOKUP($D29,'Modelling New'!$D:$D,'Modelling New'!$T:$T)*1000,"")</f>
        <v>120499.94015769019</v>
      </c>
      <c r="AE29" s="234">
        <f>IFERROR(_xlfn.XLOOKUP($D29,'Modelling New'!$D:$D,'Modelling New'!$O:$O),"")</f>
        <v>0.74859779740027077</v>
      </c>
      <c r="AF29" s="234">
        <f>IFERROR(_xlfn.XLOOKUP($D29,'Modelling New'!$D:$D,'Modelling New'!$W:$W),"")</f>
        <v>0.20659219769921358</v>
      </c>
      <c r="AG29" s="234">
        <f>IFERROR(_xlfn.XLOOKUP($D29,'Modelling New'!$D:$D,'Modelling New'!AE:AE),"")</f>
        <v>0.995</v>
      </c>
      <c r="AH29" s="234">
        <v>0.99750000000000005</v>
      </c>
      <c r="AI29" s="6"/>
      <c r="AJ29" s="6"/>
      <c r="AK29" s="6"/>
      <c r="AL29" s="6"/>
      <c r="AM29" s="6"/>
      <c r="AN29" s="231"/>
      <c r="AO29" s="234"/>
      <c r="AP29" s="234"/>
      <c r="AQ29" s="234"/>
      <c r="AR29" s="227">
        <f>IFERROR(_xlfn.XLOOKUP($D29,'Modelling New'!$D:$D,'Modelling New'!$N:$N),"")</f>
        <v>24.303100000000001</v>
      </c>
      <c r="AS29" s="227"/>
    </row>
    <row r="30" spans="1:45" x14ac:dyDescent="0.35">
      <c r="A30" s="226">
        <f t="shared" si="5"/>
        <v>45773</v>
      </c>
      <c r="B30" s="227">
        <f>YEAR(Daily_KPI[[#This Row],[Date]])+IF(MONTH(Daily_KPI[[#This Row],[Date]])&gt;=4,1,0)</f>
        <v>2026</v>
      </c>
      <c r="C30" s="6">
        <f>YEAR(Daily_KPI[[#This Row],[Date]])</f>
        <v>2025</v>
      </c>
      <c r="D30" s="228">
        <f>Daily_KPI[[#This Row],[Date]]-DAY(Daily_KPI[[#This Row],[Date]])+1</f>
        <v>45748</v>
      </c>
      <c r="E30" s="6">
        <f t="shared" si="0"/>
        <v>30</v>
      </c>
      <c r="F30" s="229">
        <f>IFERROR(_xlfn.XLOOKUP($A30,'Raw Data'!$A:$A,'Raw Data'!$BR:$BR),"")</f>
        <v>11.983333333333334</v>
      </c>
      <c r="G30" s="230">
        <f>IFERROR(_xlfn.XLOOKUP($A30,'Raw Data'!$A:$A,'Raw Data'!$AO:$AO),"")</f>
        <v>0</v>
      </c>
      <c r="H30" s="230"/>
      <c r="I30" s="230">
        <f>IFERROR(_xlfn.XLOOKUP($A30,'Raw Data'!$A:$A,'Raw Data'!$AR:$AR),"")</f>
        <v>5.9606418451400325</v>
      </c>
      <c r="J30" s="230"/>
      <c r="K30" s="230">
        <f>IFERROR(_xlfn.XLOOKUP($A30,'Raw Data'!$A:$A,'Raw Data'!$AV:$AV),"")</f>
        <v>0</v>
      </c>
      <c r="L30" s="230">
        <f>IFERROR(_xlfn.XLOOKUP($A30,'Raw Data'!$A:$A,'Raw Data'!$AW:$AW),"")</f>
        <v>0</v>
      </c>
      <c r="M30" s="230">
        <f>IFERROR(_xlfn.XLOOKUP($A30,'Raw Data'!$A:$A,'Raw Data'!$AX:$AX),"")</f>
        <v>0</v>
      </c>
      <c r="N30" s="230">
        <f>IFERROR(_xlfn.XLOOKUP($A30,'Raw Data'!$A:$A,'Raw Data'!$AY:$AY),"")</f>
        <v>0</v>
      </c>
      <c r="O30" s="231">
        <f>IFERROR(1-(SUMIF('Plant BD'!$B:$B,A30,'Plant BD'!$AE:$AE)/(AA30+SUMIF('Plant BD'!$B:$B,A30,'Plant BD'!$AE:$AE))),"")</f>
        <v>0.99911840037563926</v>
      </c>
      <c r="P30" s="231"/>
      <c r="Q30" s="232"/>
      <c r="R30" s="231">
        <f>IFERROR(1-(SUMIF('Grid BD'!$B:$B,$A30,'Grid BD'!$AD:$AD)/($AA30+SUMIF('Grid BD'!$B:$B,$A30,'Grid BD'!AD:AD))),"")</f>
        <v>1</v>
      </c>
      <c r="S30" s="6"/>
      <c r="T30" s="232"/>
      <c r="U30" s="233">
        <f t="shared" si="4"/>
        <v>0.75675569420916955</v>
      </c>
      <c r="V30" s="233"/>
      <c r="W30" s="234">
        <f t="shared" si="2"/>
        <v>0.18794790239379877</v>
      </c>
      <c r="X30" s="227">
        <f>IFERROR(_xlfn.XLOOKUP($A30,'Raw Data'!$A:$A,'Raw Data'!$BA:$BA),"")</f>
        <v>111571</v>
      </c>
      <c r="Y30" s="227">
        <f>IFERROR(_xlfn.XLOOKUP($A30,'Raw Data'!$A:$A,'Raw Data'!BJ:BJ),"")</f>
        <v>110508.00000000163</v>
      </c>
      <c r="Z30" s="227">
        <f>IFERROR(_xlfn.XLOOKUP($A30,'Raw Data'!$A:$A,'Raw Data'!BK:BK),"")</f>
        <v>882.8000000000884</v>
      </c>
      <c r="AA30" s="227">
        <f>IFERROR(_xlfn.XLOOKUP($A30,'Raw Data'!$A:$A,'Raw Data'!BL:BL),"")</f>
        <v>109625.20000000154</v>
      </c>
      <c r="AB30" s="227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27">
        <f>IFERROR(_xlfn.XLOOKUP($D30,'Modelling New'!$D:$D,'Modelling New'!$T:$T)*1000,"")</f>
        <v>120499.94015769019</v>
      </c>
      <c r="AE30" s="234">
        <f>IFERROR(_xlfn.XLOOKUP($D30,'Modelling New'!$D:$D,'Modelling New'!$O:$O),"")</f>
        <v>0.74859779740027077</v>
      </c>
      <c r="AF30" s="234">
        <f>IFERROR(_xlfn.XLOOKUP($D30,'Modelling New'!$D:$D,'Modelling New'!$W:$W),"")</f>
        <v>0.20659219769921358</v>
      </c>
      <c r="AG30" s="234">
        <f>IFERROR(_xlfn.XLOOKUP($D30,'Modelling New'!$D:$D,'Modelling New'!AE:AE),"")</f>
        <v>0.995</v>
      </c>
      <c r="AH30" s="234">
        <v>0.99750000000000005</v>
      </c>
      <c r="AI30" s="6"/>
      <c r="AJ30" s="6"/>
      <c r="AK30" s="6"/>
      <c r="AL30" s="6"/>
      <c r="AM30" s="6"/>
      <c r="AN30" s="231"/>
      <c r="AO30" s="234"/>
      <c r="AP30" s="234"/>
      <c r="AQ30" s="234"/>
      <c r="AR30" s="227">
        <f>IFERROR(_xlfn.XLOOKUP($D30,'Modelling New'!$D:$D,'Modelling New'!$N:$N),"")</f>
        <v>24.303100000000001</v>
      </c>
      <c r="AS30" s="227"/>
    </row>
    <row r="31" spans="1:45" x14ac:dyDescent="0.35">
      <c r="A31" s="226">
        <f t="shared" si="5"/>
        <v>45774</v>
      </c>
      <c r="B31" s="227">
        <f>YEAR(Daily_KPI[[#This Row],[Date]])+IF(MONTH(Daily_KPI[[#This Row],[Date]])&gt;=4,1,0)</f>
        <v>2026</v>
      </c>
      <c r="C31" s="6">
        <f>YEAR(Daily_KPI[[#This Row],[Date]])</f>
        <v>2025</v>
      </c>
      <c r="D31" s="228">
        <f>Daily_KPI[[#This Row],[Date]]-DAY(Daily_KPI[[#This Row],[Date]])+1</f>
        <v>45748</v>
      </c>
      <c r="E31" s="6">
        <f t="shared" si="0"/>
        <v>30</v>
      </c>
      <c r="F31" s="229">
        <f>IFERROR(_xlfn.XLOOKUP($A31,'Raw Data'!$A:$A,'Raw Data'!$BR:$BR),"")</f>
        <v>12.116666666666669</v>
      </c>
      <c r="G31" s="230">
        <f>IFERROR(_xlfn.XLOOKUP($A31,'Raw Data'!$A:$A,'Raw Data'!$AO:$AO),"")</f>
        <v>0</v>
      </c>
      <c r="H31" s="230"/>
      <c r="I31" s="230">
        <f>IFERROR(_xlfn.XLOOKUP($A31,'Raw Data'!$A:$A,'Raw Data'!$AR:$AR),"")</f>
        <v>7.1502547364085665</v>
      </c>
      <c r="J31" s="230"/>
      <c r="K31" s="230">
        <f>IFERROR(_xlfn.XLOOKUP($A31,'Raw Data'!$A:$A,'Raw Data'!$AV:$AV),"")</f>
        <v>0</v>
      </c>
      <c r="L31" s="230">
        <f>IFERROR(_xlfn.XLOOKUP($A31,'Raw Data'!$A:$A,'Raw Data'!$AW:$AW),"")</f>
        <v>0</v>
      </c>
      <c r="M31" s="230">
        <f>IFERROR(_xlfn.XLOOKUP($A31,'Raw Data'!$A:$A,'Raw Data'!$AX:$AX),"")</f>
        <v>0</v>
      </c>
      <c r="N31" s="230">
        <f>IFERROR(_xlfn.XLOOKUP($A31,'Raw Data'!$A:$A,'Raw Data'!$AY:$AY),"")</f>
        <v>0</v>
      </c>
      <c r="O31" s="231">
        <f>IFERROR(1-(SUMIF('Plant BD'!$B:$B,A31,'Plant BD'!$AE:$AE)/(AA31+SUMIF('Plant BD'!$B:$B,A31,'Plant BD'!$AE:$AE))),"")</f>
        <v>1</v>
      </c>
      <c r="P31" s="231"/>
      <c r="Q31" s="232"/>
      <c r="R31" s="231">
        <f>IFERROR(1-(SUMIF('Grid BD'!$B:$B,$A31,'Grid BD'!$AD:$AD)/($AA31+SUMIF('Grid BD'!$B:$B,$A31,'Grid BD'!AD:AD))),"")</f>
        <v>1</v>
      </c>
      <c r="S31" s="6"/>
      <c r="T31" s="232"/>
      <c r="U31" s="233">
        <f t="shared" si="4"/>
        <v>0.70986026236412481</v>
      </c>
      <c r="V31" s="233"/>
      <c r="W31" s="234">
        <f t="shared" si="2"/>
        <v>0.21148673763155465</v>
      </c>
      <c r="X31" s="227">
        <f>IFERROR(_xlfn.XLOOKUP($A31,'Raw Data'!$A:$A,'Raw Data'!$BA:$BA),"")</f>
        <v>125565</v>
      </c>
      <c r="Y31" s="227">
        <f>IFERROR(_xlfn.XLOOKUP($A31,'Raw Data'!$A:$A,'Raw Data'!BJ:BJ),"")</f>
        <v>124093.80000000237</v>
      </c>
      <c r="Z31" s="227">
        <f>IFERROR(_xlfn.XLOOKUP($A31,'Raw Data'!$A:$A,'Raw Data'!BK:BK),"")</f>
        <v>738.99999999991905</v>
      </c>
      <c r="AA31" s="227">
        <f>IFERROR(_xlfn.XLOOKUP($A31,'Raw Data'!$A:$A,'Raw Data'!BL:BL),"")</f>
        <v>123354.80000000246</v>
      </c>
      <c r="AB31" s="227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27">
        <f>IFERROR(_xlfn.XLOOKUP($D31,'Modelling New'!$D:$D,'Modelling New'!$T:$T)*1000,"")</f>
        <v>120499.94015769019</v>
      </c>
      <c r="AE31" s="234">
        <f>IFERROR(_xlfn.XLOOKUP($D31,'Modelling New'!$D:$D,'Modelling New'!$O:$O),"")</f>
        <v>0.74859779740027077</v>
      </c>
      <c r="AF31" s="234">
        <f>IFERROR(_xlfn.XLOOKUP($D31,'Modelling New'!$D:$D,'Modelling New'!$W:$W),"")</f>
        <v>0.20659219769921358</v>
      </c>
      <c r="AG31" s="234">
        <f>IFERROR(_xlfn.XLOOKUP($D31,'Modelling New'!$D:$D,'Modelling New'!AE:AE),"")</f>
        <v>0.995</v>
      </c>
      <c r="AH31" s="234">
        <v>0.99750000000000005</v>
      </c>
      <c r="AI31" s="6"/>
      <c r="AJ31" s="6"/>
      <c r="AK31" s="6"/>
      <c r="AL31" s="6"/>
      <c r="AM31" s="6"/>
      <c r="AN31" s="231"/>
      <c r="AO31" s="234"/>
      <c r="AP31" s="234"/>
      <c r="AQ31" s="234"/>
      <c r="AR31" s="227">
        <f>IFERROR(_xlfn.XLOOKUP($D31,'Modelling New'!$D:$D,'Modelling New'!$N:$N),"")</f>
        <v>24.303100000000001</v>
      </c>
      <c r="AS31" s="227"/>
    </row>
    <row r="32" spans="1:45" x14ac:dyDescent="0.35">
      <c r="A32" s="226">
        <f t="shared" si="5"/>
        <v>45775</v>
      </c>
      <c r="B32" s="227">
        <f>YEAR(Daily_KPI[[#This Row],[Date]])+IF(MONTH(Daily_KPI[[#This Row],[Date]])&gt;=4,1,0)</f>
        <v>2026</v>
      </c>
      <c r="C32" s="6">
        <f>YEAR(Daily_KPI[[#This Row],[Date]])</f>
        <v>2025</v>
      </c>
      <c r="D32" s="228">
        <f>Daily_KPI[[#This Row],[Date]]-DAY(Daily_KPI[[#This Row],[Date]])+1</f>
        <v>45748</v>
      </c>
      <c r="E32" s="6">
        <f t="shared" si="0"/>
        <v>30</v>
      </c>
      <c r="F32" s="229">
        <f>IFERROR(_xlfn.XLOOKUP($A32,'Raw Data'!$A:$A,'Raw Data'!$BR:$BR),"")</f>
        <v>12.2</v>
      </c>
      <c r="G32" s="230">
        <f>IFERROR(_xlfn.XLOOKUP($A32,'Raw Data'!$A:$A,'Raw Data'!$AO:$AO),"")</f>
        <v>0</v>
      </c>
      <c r="H32" s="230"/>
      <c r="I32" s="230">
        <f>IFERROR(_xlfn.XLOOKUP($A32,'Raw Data'!$A:$A,'Raw Data'!$AR:$AR),"")</f>
        <v>6.9611156095551898</v>
      </c>
      <c r="J32" s="230"/>
      <c r="K32" s="230">
        <f>IFERROR(_xlfn.XLOOKUP($A32,'Raw Data'!$A:$A,'Raw Data'!$AV:$AV),"")</f>
        <v>0</v>
      </c>
      <c r="L32" s="230">
        <f>IFERROR(_xlfn.XLOOKUP($A32,'Raw Data'!$A:$A,'Raw Data'!$AW:$AW),"")</f>
        <v>0</v>
      </c>
      <c r="M32" s="230">
        <f>IFERROR(_xlfn.XLOOKUP($A32,'Raw Data'!$A:$A,'Raw Data'!$AX:$AX),"")</f>
        <v>0</v>
      </c>
      <c r="N32" s="230">
        <f>IFERROR(_xlfn.XLOOKUP($A32,'Raw Data'!$A:$A,'Raw Data'!$AY:$AY),"")</f>
        <v>0</v>
      </c>
      <c r="O32" s="231">
        <f>IFERROR(1-(SUMIF('Plant BD'!$B:$B,A32,'Plant BD'!$AE:$AE)/(AA32+SUMIF('Plant BD'!$B:$B,A32,'Plant BD'!$AE:$AE))),"")</f>
        <v>1</v>
      </c>
      <c r="P32" s="231"/>
      <c r="Q32" s="232"/>
      <c r="R32" s="231">
        <f>IFERROR(1-(SUMIF('Grid BD'!$B:$B,$A32,'Grid BD'!$AD:$AD)/($AA32+SUMIF('Grid BD'!$B:$B,$A32,'Grid BD'!AD:AD))),"")</f>
        <v>1</v>
      </c>
      <c r="S32" s="6"/>
      <c r="T32" s="232"/>
      <c r="U32" s="233">
        <f t="shared" si="4"/>
        <v>0.72956741792821633</v>
      </c>
      <c r="V32" s="233"/>
      <c r="W32" s="234">
        <f t="shared" si="2"/>
        <v>0.21160846421512422</v>
      </c>
      <c r="X32" s="227">
        <f>IFERROR(_xlfn.XLOOKUP($A32,'Raw Data'!$A:$A,'Raw Data'!$BA:$BA),"")</f>
        <v>125912</v>
      </c>
      <c r="Y32" s="227">
        <f>IFERROR(_xlfn.XLOOKUP($A32,'Raw Data'!$A:$A,'Raw Data'!BJ:BJ),"")</f>
        <v>124347.99999999814</v>
      </c>
      <c r="Z32" s="227">
        <f>IFERROR(_xlfn.XLOOKUP($A32,'Raw Data'!$A:$A,'Raw Data'!BK:BK),"")</f>
        <v>922.20000000008895</v>
      </c>
      <c r="AA32" s="227">
        <f>IFERROR(_xlfn.XLOOKUP($A32,'Raw Data'!$A:$A,'Raw Data'!BL:BL),"")</f>
        <v>123425.79999999805</v>
      </c>
      <c r="AB32" s="227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27">
        <f>IFERROR(_xlfn.XLOOKUP($D32,'Modelling New'!$D:$D,'Modelling New'!$T:$T)*1000,"")</f>
        <v>120499.94015769019</v>
      </c>
      <c r="AE32" s="234">
        <f>IFERROR(_xlfn.XLOOKUP($D32,'Modelling New'!$D:$D,'Modelling New'!$O:$O),"")</f>
        <v>0.74859779740027077</v>
      </c>
      <c r="AF32" s="234">
        <f>IFERROR(_xlfn.XLOOKUP($D32,'Modelling New'!$D:$D,'Modelling New'!$W:$W),"")</f>
        <v>0.20659219769921358</v>
      </c>
      <c r="AG32" s="234">
        <f>IFERROR(_xlfn.XLOOKUP($D32,'Modelling New'!$D:$D,'Modelling New'!AE:AE),"")</f>
        <v>0.995</v>
      </c>
      <c r="AH32" s="234">
        <v>0.99750000000000005</v>
      </c>
      <c r="AI32" s="6"/>
      <c r="AJ32" s="6"/>
      <c r="AK32" s="6"/>
      <c r="AL32" s="6"/>
      <c r="AM32" s="6"/>
      <c r="AN32" s="231"/>
      <c r="AO32" s="234"/>
      <c r="AP32" s="234"/>
      <c r="AQ32" s="234"/>
      <c r="AR32" s="227">
        <f>IFERROR(_xlfn.XLOOKUP($D32,'Modelling New'!$D:$D,'Modelling New'!$N:$N),"")</f>
        <v>24.303100000000001</v>
      </c>
      <c r="AS32" s="227"/>
    </row>
    <row r="33" spans="1:45" x14ac:dyDescent="0.35">
      <c r="A33" s="226">
        <f t="shared" si="5"/>
        <v>45776</v>
      </c>
      <c r="B33" s="227">
        <f>YEAR(Daily_KPI[[#This Row],[Date]])+IF(MONTH(Daily_KPI[[#This Row],[Date]])&gt;=4,1,0)</f>
        <v>2026</v>
      </c>
      <c r="C33" s="6">
        <f>YEAR(Daily_KPI[[#This Row],[Date]])</f>
        <v>2025</v>
      </c>
      <c r="D33" s="228">
        <f>Daily_KPI[[#This Row],[Date]]-DAY(Daily_KPI[[#This Row],[Date]])+1</f>
        <v>45748</v>
      </c>
      <c r="E33" s="6">
        <f t="shared" si="0"/>
        <v>30</v>
      </c>
      <c r="F33" s="229">
        <f>IFERROR(_xlfn.XLOOKUP($A33,'Raw Data'!$A:$A,'Raw Data'!$BR:$BR),"")</f>
        <v>12.183333333333335</v>
      </c>
      <c r="G33" s="230">
        <f>IFERROR(_xlfn.XLOOKUP($A33,'Raw Data'!$A:$A,'Raw Data'!$AO:$AO),"")</f>
        <v>0</v>
      </c>
      <c r="H33" s="230"/>
      <c r="I33" s="230">
        <f>IFERROR(_xlfn.XLOOKUP($A33,'Raw Data'!$A:$A,'Raw Data'!$AR:$AR),"")</f>
        <v>7.0776973640856671</v>
      </c>
      <c r="J33" s="230"/>
      <c r="K33" s="230">
        <f>IFERROR(_xlfn.XLOOKUP($A33,'Raw Data'!$A:$A,'Raw Data'!$AV:$AV),"")</f>
        <v>0</v>
      </c>
      <c r="L33" s="230">
        <f>IFERROR(_xlfn.XLOOKUP($A33,'Raw Data'!$A:$A,'Raw Data'!$AW:$AW),"")</f>
        <v>0</v>
      </c>
      <c r="M33" s="230">
        <f>IFERROR(_xlfn.XLOOKUP($A33,'Raw Data'!$A:$A,'Raw Data'!$AX:$AX),"")</f>
        <v>0</v>
      </c>
      <c r="N33" s="230">
        <f>IFERROR(_xlfn.XLOOKUP($A33,'Raw Data'!$A:$A,'Raw Data'!$AY:$AY),"")</f>
        <v>0</v>
      </c>
      <c r="O33" s="231">
        <f>IFERROR(1-(SUMIF('Plant BD'!$B:$B,A33,'Plant BD'!$AE:$AE)/(AA33+SUMIF('Plant BD'!$B:$B,A33,'Plant BD'!$AE:$AE))),"")</f>
        <v>1</v>
      </c>
      <c r="P33" s="231"/>
      <c r="Q33" s="232"/>
      <c r="R33" s="231">
        <f>IFERROR(1-(SUMIF('Grid BD'!$B:$B,$A33,'Grid BD'!$AD:$AD)/($AA33+SUMIF('Grid BD'!$B:$B,$A33,'Grid BD'!AD:AD))),"")</f>
        <v>1</v>
      </c>
      <c r="S33" s="6"/>
      <c r="T33" s="232"/>
      <c r="U33" s="233">
        <f t="shared" si="4"/>
        <v>0.72883965824101982</v>
      </c>
      <c r="V33" s="233"/>
      <c r="W33" s="234">
        <f t="shared" si="2"/>
        <v>0.21493777199889852</v>
      </c>
      <c r="X33" s="227">
        <f>IFERROR(_xlfn.XLOOKUP($A33,'Raw Data'!$A:$A,'Raw Data'!$BA:$BA),"")</f>
        <v>127893</v>
      </c>
      <c r="Y33" s="227">
        <f>IFERROR(_xlfn.XLOOKUP($A33,'Raw Data'!$A:$A,'Raw Data'!BJ:BJ),"")</f>
        <v>126236.39999999432</v>
      </c>
      <c r="Z33" s="227">
        <f>IFERROR(_xlfn.XLOOKUP($A33,'Raw Data'!$A:$A,'Raw Data'!BK:BK),"")</f>
        <v>868.69999999998981</v>
      </c>
      <c r="AA33" s="227">
        <f>IFERROR(_xlfn.XLOOKUP($A33,'Raw Data'!$A:$A,'Raw Data'!BL:BL),"")</f>
        <v>125367.69999999434</v>
      </c>
      <c r="AB33" s="227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27">
        <f>IFERROR(_xlfn.XLOOKUP($D33,'Modelling New'!$D:$D,'Modelling New'!$T:$T)*1000,"")</f>
        <v>120499.94015769019</v>
      </c>
      <c r="AE33" s="234">
        <f>IFERROR(_xlfn.XLOOKUP($D33,'Modelling New'!$D:$D,'Modelling New'!$O:$O),"")</f>
        <v>0.74859779740027077</v>
      </c>
      <c r="AF33" s="234">
        <f>IFERROR(_xlfn.XLOOKUP($D33,'Modelling New'!$D:$D,'Modelling New'!$W:$W),"")</f>
        <v>0.20659219769921358</v>
      </c>
      <c r="AG33" s="234">
        <f>IFERROR(_xlfn.XLOOKUP($D33,'Modelling New'!$D:$D,'Modelling New'!AE:AE),"")</f>
        <v>0.995</v>
      </c>
      <c r="AH33" s="234">
        <v>0.99750000000000005</v>
      </c>
      <c r="AI33" s="6"/>
      <c r="AJ33" s="6"/>
      <c r="AK33" s="6"/>
      <c r="AL33" s="6"/>
      <c r="AM33" s="6"/>
      <c r="AN33" s="231"/>
      <c r="AO33" s="234"/>
      <c r="AP33" s="234"/>
      <c r="AQ33" s="234"/>
      <c r="AR33" s="227">
        <f>IFERROR(_xlfn.XLOOKUP($D33,'Modelling New'!$D:$D,'Modelling New'!$N:$N),"")</f>
        <v>24.303100000000001</v>
      </c>
      <c r="AS33" s="227"/>
    </row>
    <row r="34" spans="1:45" x14ac:dyDescent="0.35">
      <c r="A34" s="226">
        <f t="shared" si="5"/>
        <v>45777</v>
      </c>
      <c r="B34" s="227">
        <f>YEAR(Daily_KPI[[#This Row],[Date]])+IF(MONTH(Daily_KPI[[#This Row],[Date]])&gt;=4,1,0)</f>
        <v>2026</v>
      </c>
      <c r="C34" s="6">
        <f>YEAR(Daily_KPI[[#This Row],[Date]])</f>
        <v>2025</v>
      </c>
      <c r="D34" s="228">
        <f>Daily_KPI[[#This Row],[Date]]-DAY(Daily_KPI[[#This Row],[Date]])+1</f>
        <v>45748</v>
      </c>
      <c r="E34" s="6">
        <f t="shared" si="0"/>
        <v>30</v>
      </c>
      <c r="F34" s="229">
        <f>IFERROR(_xlfn.XLOOKUP($A34,'Raw Data'!$A:$A,'Raw Data'!$BR:$BR),"")</f>
        <v>12.283333333333335</v>
      </c>
      <c r="G34" s="230">
        <f>IFERROR(_xlfn.XLOOKUP($A34,'Raw Data'!$A:$A,'Raw Data'!$AO:$AO),"")</f>
        <v>0</v>
      </c>
      <c r="H34" s="230"/>
      <c r="I34" s="230">
        <f>IFERROR(_xlfn.XLOOKUP($A34,'Raw Data'!$A:$A,'Raw Data'!$AR:$AR),"")</f>
        <v>6.3762760708401975</v>
      </c>
      <c r="J34" s="230"/>
      <c r="K34" s="230">
        <f>IFERROR(_xlfn.XLOOKUP($A34,'Raw Data'!$A:$A,'Raw Data'!$AV:$AV),"")</f>
        <v>0</v>
      </c>
      <c r="L34" s="230">
        <f>IFERROR(_xlfn.XLOOKUP($A34,'Raw Data'!$A:$A,'Raw Data'!$AW:$AW),"")</f>
        <v>0</v>
      </c>
      <c r="M34" s="230">
        <f>IFERROR(_xlfn.XLOOKUP($A34,'Raw Data'!$A:$A,'Raw Data'!$AX:$AX),"")</f>
        <v>0</v>
      </c>
      <c r="N34" s="230">
        <f>IFERROR(_xlfn.XLOOKUP($A34,'Raw Data'!$A:$A,'Raw Data'!$AY:$AY),"")</f>
        <v>0</v>
      </c>
      <c r="O34" s="231">
        <f>IFERROR(1-(SUMIF('Plant BD'!$B:$B,A34,'Plant BD'!$AE:$AE)/(AA34+SUMIF('Plant BD'!$B:$B,A34,'Plant BD'!$AE:$AE))),"")</f>
        <v>1</v>
      </c>
      <c r="P34" s="231"/>
      <c r="Q34" s="232"/>
      <c r="R34" s="231">
        <f>IFERROR(1-(SUMIF('Grid BD'!$B:$B,$A34,'Grid BD'!$AD:$AD)/($AA34+SUMIF('Grid BD'!$B:$B,$A34,'Grid BD'!AD:AD))),"")</f>
        <v>1</v>
      </c>
      <c r="S34" s="6"/>
      <c r="T34" s="232"/>
      <c r="U34" s="233">
        <f t="shared" si="4"/>
        <v>0.76442563579927203</v>
      </c>
      <c r="V34" s="233"/>
      <c r="W34" s="234">
        <f t="shared" si="2"/>
        <v>0.20309120372848757</v>
      </c>
      <c r="X34" s="227">
        <f>IFERROR(_xlfn.XLOOKUP($A34,'Raw Data'!$A:$A,'Raw Data'!$BA:$BA),"")</f>
        <v>120825</v>
      </c>
      <c r="Y34" s="227">
        <f>IFERROR(_xlfn.XLOOKUP($A34,'Raw Data'!$A:$A,'Raw Data'!BJ:BJ),"")</f>
        <v>119527.20000001136</v>
      </c>
      <c r="Z34" s="227">
        <f>IFERROR(_xlfn.XLOOKUP($A34,'Raw Data'!$A:$A,'Raw Data'!BK:BK),"")</f>
        <v>1069.2999999999984</v>
      </c>
      <c r="AA34" s="227">
        <f>IFERROR(_xlfn.XLOOKUP($A34,'Raw Data'!$A:$A,'Raw Data'!BL:BL),"")</f>
        <v>118457.90000001136</v>
      </c>
      <c r="AB34" s="227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27">
        <f>IFERROR(_xlfn.XLOOKUP($D34,'Modelling New'!$D:$D,'Modelling New'!$T:$T)*1000,"")</f>
        <v>120499.94015769019</v>
      </c>
      <c r="AE34" s="234">
        <f>IFERROR(_xlfn.XLOOKUP($D34,'Modelling New'!$D:$D,'Modelling New'!$O:$O),"")</f>
        <v>0.74859779740027077</v>
      </c>
      <c r="AF34" s="234">
        <f>IFERROR(_xlfn.XLOOKUP($D34,'Modelling New'!$D:$D,'Modelling New'!$W:$W),"")</f>
        <v>0.20659219769921358</v>
      </c>
      <c r="AG34" s="234">
        <f>IFERROR(_xlfn.XLOOKUP($D34,'Modelling New'!$D:$D,'Modelling New'!AE:AE),"")</f>
        <v>0.995</v>
      </c>
      <c r="AH34" s="234">
        <v>0.99750000000000005</v>
      </c>
      <c r="AI34" s="6"/>
      <c r="AJ34" s="6"/>
      <c r="AK34" s="6"/>
      <c r="AL34" s="6"/>
      <c r="AM34" s="6"/>
      <c r="AN34" s="231"/>
      <c r="AO34" s="234"/>
      <c r="AP34" s="234"/>
      <c r="AQ34" s="234"/>
      <c r="AR34" s="227">
        <f>IFERROR(_xlfn.XLOOKUP($D34,'Modelling New'!$D:$D,'Modelling New'!$N:$N),"")</f>
        <v>24.303100000000001</v>
      </c>
      <c r="AS34" s="227"/>
    </row>
    <row r="35" spans="1:45" x14ac:dyDescent="0.35">
      <c r="A35" s="226">
        <f t="shared" si="5"/>
        <v>45778</v>
      </c>
      <c r="B35" s="227">
        <f>YEAR(Daily_KPI[[#This Row],[Date]])+IF(MONTH(Daily_KPI[[#This Row],[Date]])&gt;=4,1,0)</f>
        <v>2026</v>
      </c>
      <c r="C35" s="6">
        <f>YEAR(Daily_KPI[[#This Row],[Date]])</f>
        <v>2025</v>
      </c>
      <c r="D35" s="228">
        <f>Daily_KPI[[#This Row],[Date]]-DAY(Daily_KPI[[#This Row],[Date]])+1</f>
        <v>45778</v>
      </c>
      <c r="E35" s="6">
        <f t="shared" si="0"/>
        <v>31</v>
      </c>
      <c r="F35" s="229">
        <f>IFERROR(_xlfn.XLOOKUP($A35,'Raw Data'!$A:$A,'Raw Data'!$BR:$BR),"")</f>
        <v>12.266666666666666</v>
      </c>
      <c r="G35" s="230">
        <f>IFERROR(_xlfn.XLOOKUP($A35,'Raw Data'!$A:$A,'Raw Data'!$AO:$AO),"")</f>
        <v>0</v>
      </c>
      <c r="H35" s="230"/>
      <c r="I35" s="230">
        <f>IFERROR(_xlfn.XLOOKUP($A35,'Raw Data'!$A:$A,'Raw Data'!$AR:$AR),"")</f>
        <v>6.869952100494233</v>
      </c>
      <c r="J35" s="230"/>
      <c r="K35" s="230">
        <f>IFERROR(_xlfn.XLOOKUP($A35,'Raw Data'!$A:$A,'Raw Data'!$AV:$AV),"")</f>
        <v>0</v>
      </c>
      <c r="L35" s="230">
        <f>IFERROR(_xlfn.XLOOKUP($A35,'Raw Data'!$A:$A,'Raw Data'!$AW:$AW),"")</f>
        <v>0</v>
      </c>
      <c r="M35" s="230">
        <f>IFERROR(_xlfn.XLOOKUP($A35,'Raw Data'!$A:$A,'Raw Data'!$AX:$AX),"")</f>
        <v>0</v>
      </c>
      <c r="N35" s="230">
        <f>IFERROR(_xlfn.XLOOKUP($A35,'Raw Data'!$A:$A,'Raw Data'!$AY:$AY),"")</f>
        <v>0</v>
      </c>
      <c r="O35" s="231">
        <f>IFERROR(1-(SUMIF('Plant BD'!$B:$B,A35,'Plant BD'!$AE:$AE)/(AA35+SUMIF('Plant BD'!$B:$B,A35,'Plant BD'!$AE:$AE))),"")</f>
        <v>1</v>
      </c>
      <c r="P35" s="231"/>
      <c r="Q35" s="232"/>
      <c r="R35" s="231">
        <f>IFERROR(1-(SUMIF('Grid BD'!$B:$B,$A35,'Grid BD'!$AD:$AD)/($AA35+SUMIF('Grid BD'!$B:$B,$A35,'Grid BD'!AD:AD))),"")</f>
        <v>1</v>
      </c>
      <c r="S35" s="6"/>
      <c r="T35" s="232"/>
      <c r="U35" s="233">
        <f t="shared" si="4"/>
        <v>0.7312396477200036</v>
      </c>
      <c r="V35" s="233"/>
      <c r="W35" s="234">
        <f t="shared" si="2"/>
        <v>0.20931588974244589</v>
      </c>
      <c r="X35" s="227">
        <f>IFERROR(_xlfn.XLOOKUP($A35,'Raw Data'!$A:$A,'Raw Data'!$BA:$BA),"")</f>
        <v>124372</v>
      </c>
      <c r="Y35" s="227">
        <f>IFERROR(_xlfn.XLOOKUP($A35,'Raw Data'!$A:$A,'Raw Data'!BJ:BJ),"")</f>
        <v>122931.7999999912</v>
      </c>
      <c r="Z35" s="227">
        <f>IFERROR(_xlfn.XLOOKUP($A35,'Raw Data'!$A:$A,'Raw Data'!BK:BK),"")</f>
        <v>843.19999999991069</v>
      </c>
      <c r="AA35" s="227">
        <f>IFERROR(_xlfn.XLOOKUP($A35,'Raw Data'!$A:$A,'Raw Data'!BL:BL),"")</f>
        <v>122088.59999999129</v>
      </c>
      <c r="AB35" s="227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27">
        <f>IFERROR(_xlfn.XLOOKUP($D35,'Modelling New'!$D:$D,'Modelling New'!$T:$T)*1000,"")</f>
        <v>119905.71730852894</v>
      </c>
      <c r="AE35" s="234">
        <f>IFERROR(_xlfn.XLOOKUP($D35,'Modelling New'!$D:$D,'Modelling New'!$O:$O),"")</f>
        <v>0.75566516656343796</v>
      </c>
      <c r="AF35" s="234">
        <f>IFERROR(_xlfn.XLOOKUP($D35,'Modelling New'!$D:$D,'Modelling New'!$W:$W),"")</f>
        <v>0.20557342703284925</v>
      </c>
      <c r="AG35" s="234">
        <f>IFERROR(_xlfn.XLOOKUP($D35,'Modelling New'!$D:$D,'Modelling New'!AE:AE),"")</f>
        <v>0.995</v>
      </c>
      <c r="AH35" s="234">
        <v>0.99750000000000005</v>
      </c>
      <c r="AI35" s="6"/>
      <c r="AJ35" s="6"/>
      <c r="AK35" s="6"/>
      <c r="AL35" s="6"/>
      <c r="AM35" s="6"/>
      <c r="AN35" s="231"/>
      <c r="AO35" s="234"/>
      <c r="AP35" s="234"/>
      <c r="AQ35" s="234"/>
      <c r="AR35" s="227">
        <f>IFERROR(_xlfn.XLOOKUP($D35,'Modelling New'!$D:$D,'Modelling New'!$N:$N),"")</f>
        <v>24.303100000000001</v>
      </c>
      <c r="AS35" s="227"/>
    </row>
    <row r="36" spans="1:45" x14ac:dyDescent="0.35">
      <c r="A36" s="226">
        <f t="shared" si="5"/>
        <v>45779</v>
      </c>
      <c r="B36" s="227">
        <f>YEAR(Daily_KPI[[#This Row],[Date]])+IF(MONTH(Daily_KPI[[#This Row],[Date]])&gt;=4,1,0)</f>
        <v>2026</v>
      </c>
      <c r="C36" s="6">
        <f>YEAR(Daily_KPI[[#This Row],[Date]])</f>
        <v>2025</v>
      </c>
      <c r="D36" s="228">
        <f>Daily_KPI[[#This Row],[Date]]-DAY(Daily_KPI[[#This Row],[Date]])+1</f>
        <v>45778</v>
      </c>
      <c r="E36" s="6">
        <f t="shared" si="0"/>
        <v>31</v>
      </c>
      <c r="F36" s="229">
        <f>IFERROR(_xlfn.XLOOKUP($A36,'Raw Data'!$A:$A,'Raw Data'!$BR:$BR),"")</f>
        <v>12.266666666666666</v>
      </c>
      <c r="G36" s="230">
        <f>IFERROR(_xlfn.XLOOKUP($A36,'Raw Data'!$A:$A,'Raw Data'!$AO:$AO),"")</f>
        <v>0</v>
      </c>
      <c r="H36" s="230"/>
      <c r="I36" s="230">
        <f>IFERROR(_xlfn.XLOOKUP($A36,'Raw Data'!$A:$A,'Raw Data'!$AR:$AR),"")</f>
        <v>6.6161217051070835</v>
      </c>
      <c r="J36" s="230"/>
      <c r="K36" s="230">
        <f>IFERROR(_xlfn.XLOOKUP($A36,'Raw Data'!$A:$A,'Raw Data'!$AV:$AV),"")</f>
        <v>0</v>
      </c>
      <c r="L36" s="230">
        <f>IFERROR(_xlfn.XLOOKUP($A36,'Raw Data'!$A:$A,'Raw Data'!$AW:$AW),"")</f>
        <v>0</v>
      </c>
      <c r="M36" s="230">
        <f>IFERROR(_xlfn.XLOOKUP($A36,'Raw Data'!$A:$A,'Raw Data'!$AX:$AX),"")</f>
        <v>0</v>
      </c>
      <c r="N36" s="230">
        <f>IFERROR(_xlfn.XLOOKUP($A36,'Raw Data'!$A:$A,'Raw Data'!$AY:$AY),"")</f>
        <v>0</v>
      </c>
      <c r="O36" s="231">
        <f>IFERROR(1-(SUMIF('Plant BD'!$B:$B,A36,'Plant BD'!$AE:$AE)/(AA36+SUMIF('Plant BD'!$B:$B,A36,'Plant BD'!$AE:$AE))),"")</f>
        <v>1</v>
      </c>
      <c r="P36" s="231"/>
      <c r="Q36" s="232"/>
      <c r="R36" s="231">
        <f>IFERROR(1-(SUMIF('Grid BD'!$B:$B,$A36,'Grid BD'!$AD:$AD)/($AA36+SUMIF('Grid BD'!$B:$B,$A36,'Grid BD'!AD:AD))),"")</f>
        <v>1</v>
      </c>
      <c r="S36" s="6"/>
      <c r="T36" s="232"/>
      <c r="U36" s="233">
        <f t="shared" si="4"/>
        <v>0.74017178758655577</v>
      </c>
      <c r="V36" s="233"/>
      <c r="W36" s="234">
        <f t="shared" si="2"/>
        <v>0.20404444288997173</v>
      </c>
      <c r="X36" s="227">
        <f>IFERROR(_xlfn.XLOOKUP($A36,'Raw Data'!$A:$A,'Raw Data'!$BA:$BA),"")</f>
        <v>121250</v>
      </c>
      <c r="Y36" s="227">
        <f>IFERROR(_xlfn.XLOOKUP($A36,'Raw Data'!$A:$A,'Raw Data'!BJ:BJ),"")</f>
        <v>119887.49999998254</v>
      </c>
      <c r="Z36" s="227">
        <f>IFERROR(_xlfn.XLOOKUP($A36,'Raw Data'!$A:$A,'Raw Data'!BK:BK),"")</f>
        <v>873.60000000001037</v>
      </c>
      <c r="AA36" s="227">
        <f>IFERROR(_xlfn.XLOOKUP($A36,'Raw Data'!$A:$A,'Raw Data'!BL:BL),"")</f>
        <v>119013.89999998253</v>
      </c>
      <c r="AB36" s="227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27">
        <f>IFERROR(_xlfn.XLOOKUP($D36,'Modelling New'!$D:$D,'Modelling New'!$T:$T)*1000,"")</f>
        <v>119905.71730852894</v>
      </c>
      <c r="AE36" s="234">
        <f>IFERROR(_xlfn.XLOOKUP($D36,'Modelling New'!$D:$D,'Modelling New'!$O:$O),"")</f>
        <v>0.75566516656343796</v>
      </c>
      <c r="AF36" s="234">
        <f>IFERROR(_xlfn.XLOOKUP($D36,'Modelling New'!$D:$D,'Modelling New'!$W:$W),"")</f>
        <v>0.20557342703284925</v>
      </c>
      <c r="AG36" s="234">
        <f>IFERROR(_xlfn.XLOOKUP($D36,'Modelling New'!$D:$D,'Modelling New'!AE:AE),"")</f>
        <v>0.995</v>
      </c>
      <c r="AH36" s="234">
        <v>0.99750000000000005</v>
      </c>
      <c r="AI36" s="6"/>
      <c r="AJ36" s="6"/>
      <c r="AK36" s="6"/>
      <c r="AL36" s="6"/>
      <c r="AM36" s="6"/>
      <c r="AN36" s="231"/>
      <c r="AO36" s="234"/>
      <c r="AP36" s="234"/>
      <c r="AQ36" s="234"/>
      <c r="AR36" s="227">
        <f>IFERROR(_xlfn.XLOOKUP($D36,'Modelling New'!$D:$D,'Modelling New'!$N:$N),"")</f>
        <v>24.303100000000001</v>
      </c>
      <c r="AS36" s="227"/>
    </row>
    <row r="37" spans="1:45" x14ac:dyDescent="0.35">
      <c r="A37" s="226">
        <f t="shared" si="5"/>
        <v>45780</v>
      </c>
      <c r="B37" s="227">
        <f>YEAR(Daily_KPI[[#This Row],[Date]])+IF(MONTH(Daily_KPI[[#This Row],[Date]])&gt;=4,1,0)</f>
        <v>2026</v>
      </c>
      <c r="C37" s="6">
        <f>YEAR(Daily_KPI[[#This Row],[Date]])</f>
        <v>2025</v>
      </c>
      <c r="D37" s="228">
        <f>Daily_KPI[[#This Row],[Date]]-DAY(Daily_KPI[[#This Row],[Date]])+1</f>
        <v>45778</v>
      </c>
      <c r="E37" s="6">
        <f t="shared" si="0"/>
        <v>31</v>
      </c>
      <c r="F37" s="229">
        <f>IFERROR(_xlfn.XLOOKUP($A37,'Raw Data'!$A:$A,'Raw Data'!$BR:$BR),"")</f>
        <v>12.216666666666669</v>
      </c>
      <c r="G37" s="230">
        <f>IFERROR(_xlfn.XLOOKUP($A37,'Raw Data'!$A:$A,'Raw Data'!$AO:$AO),"")</f>
        <v>0</v>
      </c>
      <c r="H37" s="230"/>
      <c r="I37" s="230">
        <f>IFERROR(_xlfn.XLOOKUP($A37,'Raw Data'!$A:$A,'Raw Data'!$AR:$AR),"")</f>
        <v>7.0763270181219102</v>
      </c>
      <c r="J37" s="230"/>
      <c r="K37" s="230">
        <f>IFERROR(_xlfn.XLOOKUP($A37,'Raw Data'!$A:$A,'Raw Data'!$AV:$AV),"")</f>
        <v>0</v>
      </c>
      <c r="L37" s="230">
        <f>IFERROR(_xlfn.XLOOKUP($A37,'Raw Data'!$A:$A,'Raw Data'!$AW:$AW),"")</f>
        <v>0</v>
      </c>
      <c r="M37" s="230">
        <f>IFERROR(_xlfn.XLOOKUP($A37,'Raw Data'!$A:$A,'Raw Data'!$AX:$AX),"")</f>
        <v>0</v>
      </c>
      <c r="N37" s="230">
        <f>IFERROR(_xlfn.XLOOKUP($A37,'Raw Data'!$A:$A,'Raw Data'!$AY:$AY),"")</f>
        <v>0</v>
      </c>
      <c r="O37" s="231">
        <f>IFERROR(1-(SUMIF('Plant BD'!$B:$B,A37,'Plant BD'!$AE:$AE)/(AA37+SUMIF('Plant BD'!$B:$B,A37,'Plant BD'!$AE:$AE))),"")</f>
        <v>1</v>
      </c>
      <c r="P37" s="231"/>
      <c r="Q37" s="232"/>
      <c r="R37" s="231">
        <f>IFERROR(1-(SUMIF('Grid BD'!$B:$B,$A37,'Grid BD'!$AD:$AD)/($AA37+SUMIF('Grid BD'!$B:$B,$A37,'Grid BD'!AD:AD))),"")</f>
        <v>1</v>
      </c>
      <c r="S37" s="6"/>
      <c r="T37" s="232"/>
      <c r="U37" s="233">
        <f t="shared" si="4"/>
        <v>0.72066513742995475</v>
      </c>
      <c r="V37" s="233"/>
      <c r="W37" s="234">
        <f t="shared" si="2"/>
        <v>0.21248592429225532</v>
      </c>
      <c r="X37" s="227">
        <f>IFERROR(_xlfn.XLOOKUP($A37,'Raw Data'!$A:$A,'Raw Data'!$BA:$BA),"")</f>
        <v>126347</v>
      </c>
      <c r="Y37" s="227">
        <f>IFERROR(_xlfn.XLOOKUP($A37,'Raw Data'!$A:$A,'Raw Data'!BJ:BJ),"")</f>
        <v>124902.80000001076</v>
      </c>
      <c r="Z37" s="227">
        <f>IFERROR(_xlfn.XLOOKUP($A37,'Raw Data'!$A:$A,'Raw Data'!BK:BK),"")</f>
        <v>965.20000000009532</v>
      </c>
      <c r="AA37" s="227">
        <f>IFERROR(_xlfn.XLOOKUP($A37,'Raw Data'!$A:$A,'Raw Data'!BL:BL),"")</f>
        <v>123937.60000001066</v>
      </c>
      <c r="AB37" s="227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27">
        <f>IFERROR(_xlfn.XLOOKUP($D37,'Modelling New'!$D:$D,'Modelling New'!$T:$T)*1000,"")</f>
        <v>119905.71730852894</v>
      </c>
      <c r="AE37" s="234">
        <f>IFERROR(_xlfn.XLOOKUP($D37,'Modelling New'!$D:$D,'Modelling New'!$O:$O),"")</f>
        <v>0.75566516656343796</v>
      </c>
      <c r="AF37" s="234">
        <f>IFERROR(_xlfn.XLOOKUP($D37,'Modelling New'!$D:$D,'Modelling New'!$W:$W),"")</f>
        <v>0.20557342703284925</v>
      </c>
      <c r="AG37" s="234">
        <f>IFERROR(_xlfn.XLOOKUP($D37,'Modelling New'!$D:$D,'Modelling New'!AE:AE),"")</f>
        <v>0.995</v>
      </c>
      <c r="AH37" s="234">
        <v>0.99750000000000005</v>
      </c>
      <c r="AI37" s="6"/>
      <c r="AJ37" s="6"/>
      <c r="AK37" s="6"/>
      <c r="AL37" s="6"/>
      <c r="AM37" s="6"/>
      <c r="AN37" s="231"/>
      <c r="AO37" s="234"/>
      <c r="AP37" s="234"/>
      <c r="AQ37" s="234"/>
      <c r="AR37" s="227">
        <f>IFERROR(_xlfn.XLOOKUP($D37,'Modelling New'!$D:$D,'Modelling New'!$N:$N),"")</f>
        <v>24.303100000000001</v>
      </c>
      <c r="AS37" s="227"/>
    </row>
    <row r="38" spans="1:45" x14ac:dyDescent="0.35">
      <c r="A38" s="226">
        <f t="shared" si="5"/>
        <v>45781</v>
      </c>
      <c r="B38" s="227">
        <f>YEAR(Daily_KPI[[#This Row],[Date]])+IF(MONTH(Daily_KPI[[#This Row],[Date]])&gt;=4,1,0)</f>
        <v>2026</v>
      </c>
      <c r="C38" s="6">
        <f>YEAR(Daily_KPI[[#This Row],[Date]])</f>
        <v>2025</v>
      </c>
      <c r="D38" s="228">
        <f>Daily_KPI[[#This Row],[Date]]-DAY(Daily_KPI[[#This Row],[Date]])+1</f>
        <v>45778</v>
      </c>
      <c r="E38" s="6">
        <f t="shared" si="0"/>
        <v>31</v>
      </c>
      <c r="F38" s="229">
        <f>IFERROR(_xlfn.XLOOKUP($A38,'Raw Data'!$A:$A,'Raw Data'!$BR:$BR),"")</f>
        <v>12.216666666666669</v>
      </c>
      <c r="G38" s="230">
        <f>IFERROR(_xlfn.XLOOKUP($A38,'Raw Data'!$A:$A,'Raw Data'!$AO:$AO),"")</f>
        <v>0</v>
      </c>
      <c r="H38" s="230"/>
      <c r="I38" s="230">
        <f>IFERROR(_xlfn.XLOOKUP($A38,'Raw Data'!$A:$A,'Raw Data'!$AR:$AR),"")</f>
        <v>7.209745263591433</v>
      </c>
      <c r="J38" s="230"/>
      <c r="K38" s="230">
        <f>IFERROR(_xlfn.XLOOKUP($A38,'Raw Data'!$A:$A,'Raw Data'!$AV:$AV),"")</f>
        <v>0</v>
      </c>
      <c r="L38" s="230">
        <f>IFERROR(_xlfn.XLOOKUP($A38,'Raw Data'!$A:$A,'Raw Data'!$AW:$AW),"")</f>
        <v>0</v>
      </c>
      <c r="M38" s="230">
        <f>IFERROR(_xlfn.XLOOKUP($A38,'Raw Data'!$A:$A,'Raw Data'!$AX:$AX),"")</f>
        <v>0</v>
      </c>
      <c r="N38" s="230">
        <f>IFERROR(_xlfn.XLOOKUP($A38,'Raw Data'!$A:$A,'Raw Data'!$AY:$AY),"")</f>
        <v>0</v>
      </c>
      <c r="O38" s="231">
        <f>IFERROR(1-(SUMIF('Plant BD'!$B:$B,A38,'Plant BD'!$AE:$AE)/(AA38+SUMIF('Plant BD'!$B:$B,A38,'Plant BD'!$AE:$AE))),"")</f>
        <v>1</v>
      </c>
      <c r="P38" s="231"/>
      <c r="Q38" s="232"/>
      <c r="R38" s="231">
        <f>IFERROR(1-(SUMIF('Grid BD'!$B:$B,$A38,'Grid BD'!$AD:$AD)/($AA38+SUMIF('Grid BD'!$B:$B,$A38,'Grid BD'!AD:AD))),"")</f>
        <v>1</v>
      </c>
      <c r="S38" s="6"/>
      <c r="T38" s="232"/>
      <c r="U38" s="233">
        <f t="shared" si="4"/>
        <v>0.73306024247151025</v>
      </c>
      <c r="V38" s="233"/>
      <c r="W38" s="234">
        <f t="shared" si="2"/>
        <v>0.22021573379525664</v>
      </c>
      <c r="X38" s="227">
        <f>IFERROR(_xlfn.XLOOKUP($A38,'Raw Data'!$A:$A,'Raw Data'!$BA:$BA),"")</f>
        <v>130843</v>
      </c>
      <c r="Y38" s="227">
        <f>IFERROR(_xlfn.XLOOKUP($A38,'Raw Data'!$A:$A,'Raw Data'!BJ:BJ),"")</f>
        <v>129382.09999998799</v>
      </c>
      <c r="Z38" s="227">
        <f>IFERROR(_xlfn.XLOOKUP($A38,'Raw Data'!$A:$A,'Raw Data'!BK:BK),"")</f>
        <v>935.89999999994689</v>
      </c>
      <c r="AA38" s="227">
        <f>IFERROR(_xlfn.XLOOKUP($A38,'Raw Data'!$A:$A,'Raw Data'!BL:BL),"")</f>
        <v>128446.19999998804</v>
      </c>
      <c r="AB38" s="227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27">
        <f>IFERROR(_xlfn.XLOOKUP($D38,'Modelling New'!$D:$D,'Modelling New'!$T:$T)*1000,"")</f>
        <v>119905.71730852894</v>
      </c>
      <c r="AE38" s="234">
        <f>IFERROR(_xlfn.XLOOKUP($D38,'Modelling New'!$D:$D,'Modelling New'!$O:$O),"")</f>
        <v>0.75566516656343796</v>
      </c>
      <c r="AF38" s="234">
        <f>IFERROR(_xlfn.XLOOKUP($D38,'Modelling New'!$D:$D,'Modelling New'!$W:$W),"")</f>
        <v>0.20557342703284925</v>
      </c>
      <c r="AG38" s="234">
        <f>IFERROR(_xlfn.XLOOKUP($D38,'Modelling New'!$D:$D,'Modelling New'!AE:AE),"")</f>
        <v>0.995</v>
      </c>
      <c r="AH38" s="234">
        <v>0.99750000000000005</v>
      </c>
      <c r="AI38" s="6"/>
      <c r="AJ38" s="6"/>
      <c r="AK38" s="6"/>
      <c r="AL38" s="6"/>
      <c r="AM38" s="6"/>
      <c r="AN38" s="231"/>
      <c r="AO38" s="234"/>
      <c r="AP38" s="234"/>
      <c r="AQ38" s="234"/>
      <c r="AR38" s="227">
        <f>IFERROR(_xlfn.XLOOKUP($D38,'Modelling New'!$D:$D,'Modelling New'!$N:$N),"")</f>
        <v>24.303100000000001</v>
      </c>
      <c r="AS38" s="227"/>
    </row>
    <row r="39" spans="1:45" x14ac:dyDescent="0.35">
      <c r="A39" s="226">
        <f t="shared" si="5"/>
        <v>45782</v>
      </c>
      <c r="B39" s="227">
        <f>YEAR(Daily_KPI[[#This Row],[Date]])+IF(MONTH(Daily_KPI[[#This Row],[Date]])&gt;=4,1,0)</f>
        <v>2026</v>
      </c>
      <c r="C39" s="6">
        <f>YEAR(Daily_KPI[[#This Row],[Date]])</f>
        <v>2025</v>
      </c>
      <c r="D39" s="228">
        <f>Daily_KPI[[#This Row],[Date]]-DAY(Daily_KPI[[#This Row],[Date]])+1</f>
        <v>45778</v>
      </c>
      <c r="E39" s="6">
        <f t="shared" si="0"/>
        <v>31</v>
      </c>
      <c r="F39" s="229">
        <f>IFERROR(_xlfn.XLOOKUP($A39,'Raw Data'!$A:$A,'Raw Data'!$BR:$BR),"")</f>
        <v>12.183333333333335</v>
      </c>
      <c r="G39" s="230">
        <f>IFERROR(_xlfn.XLOOKUP($A39,'Raw Data'!$A:$A,'Raw Data'!$AO:$AO),"")</f>
        <v>0</v>
      </c>
      <c r="H39" s="230"/>
      <c r="I39" s="230">
        <f>IFERROR(_xlfn.XLOOKUP($A39,'Raw Data'!$A:$A,'Raw Data'!$AR:$AR),"")</f>
        <v>6.6333300658978587</v>
      </c>
      <c r="J39" s="230"/>
      <c r="K39" s="230">
        <f>IFERROR(_xlfn.XLOOKUP($A39,'Raw Data'!$A:$A,'Raw Data'!$AV:$AV),"")</f>
        <v>0</v>
      </c>
      <c r="L39" s="230">
        <f>IFERROR(_xlfn.XLOOKUP($A39,'Raw Data'!$A:$A,'Raw Data'!$AW:$AW),"")</f>
        <v>0</v>
      </c>
      <c r="M39" s="230">
        <f>IFERROR(_xlfn.XLOOKUP($A39,'Raw Data'!$A:$A,'Raw Data'!$AX:$AX),"")</f>
        <v>0</v>
      </c>
      <c r="N39" s="230">
        <f>IFERROR(_xlfn.XLOOKUP($A39,'Raw Data'!$A:$A,'Raw Data'!$AY:$AY),"")</f>
        <v>0</v>
      </c>
      <c r="O39" s="231">
        <f>IFERROR(1-(SUMIF('Plant BD'!$B:$B,A39,'Plant BD'!$AE:$AE)/(AA39+SUMIF('Plant BD'!$B:$B,A39,'Plant BD'!$AE:$AE))),"")</f>
        <v>1</v>
      </c>
      <c r="P39" s="231"/>
      <c r="Q39" s="232"/>
      <c r="R39" s="231">
        <f>IFERROR(1-(SUMIF('Grid BD'!$B:$B,$A39,'Grid BD'!$AD:$AD)/($AA39+SUMIF('Grid BD'!$B:$B,$A39,'Grid BD'!AD:AD))),"")</f>
        <v>1</v>
      </c>
      <c r="S39" s="6"/>
      <c r="T39" s="232"/>
      <c r="U39" s="233">
        <f t="shared" si="4"/>
        <v>0.7485530535131153</v>
      </c>
      <c r="V39" s="233"/>
      <c r="W39" s="234">
        <f t="shared" si="2"/>
        <v>0.2068916448245082</v>
      </c>
      <c r="X39" s="227">
        <f>IFERROR(_xlfn.XLOOKUP($A39,'Raw Data'!$A:$A,'Raw Data'!$BA:$BA),"")</f>
        <v>122986</v>
      </c>
      <c r="Y39" s="227">
        <f>IFERROR(_xlfn.XLOOKUP($A39,'Raw Data'!$A:$A,'Raw Data'!BJ:BJ),"")</f>
        <v>121645.20000002813</v>
      </c>
      <c r="Z39" s="227">
        <f>IFERROR(_xlfn.XLOOKUP($A39,'Raw Data'!$A:$A,'Raw Data'!BK:BK),"")</f>
        <v>970.59999999999036</v>
      </c>
      <c r="AA39" s="227">
        <f>IFERROR(_xlfn.XLOOKUP($A39,'Raw Data'!$A:$A,'Raw Data'!BL:BL),"")</f>
        <v>120674.60000002813</v>
      </c>
      <c r="AB39" s="227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27">
        <f>IFERROR(_xlfn.XLOOKUP($D39,'Modelling New'!$D:$D,'Modelling New'!$T:$T)*1000,"")</f>
        <v>119905.71730852894</v>
      </c>
      <c r="AE39" s="234">
        <f>IFERROR(_xlfn.XLOOKUP($D39,'Modelling New'!$D:$D,'Modelling New'!$O:$O),"")</f>
        <v>0.75566516656343796</v>
      </c>
      <c r="AF39" s="234">
        <f>IFERROR(_xlfn.XLOOKUP($D39,'Modelling New'!$D:$D,'Modelling New'!$W:$W),"")</f>
        <v>0.20557342703284925</v>
      </c>
      <c r="AG39" s="234">
        <f>IFERROR(_xlfn.XLOOKUP($D39,'Modelling New'!$D:$D,'Modelling New'!AE:AE),"")</f>
        <v>0.995</v>
      </c>
      <c r="AH39" s="234">
        <v>0.99750000000000005</v>
      </c>
      <c r="AI39" s="6"/>
      <c r="AJ39" s="6"/>
      <c r="AK39" s="6"/>
      <c r="AL39" s="6"/>
      <c r="AM39" s="6"/>
      <c r="AN39" s="231"/>
      <c r="AO39" s="234"/>
      <c r="AP39" s="234"/>
      <c r="AQ39" s="234"/>
      <c r="AR39" s="227">
        <f>IFERROR(_xlfn.XLOOKUP($D39,'Modelling New'!$D:$D,'Modelling New'!$N:$N),"")</f>
        <v>24.303100000000001</v>
      </c>
      <c r="AS39" s="227"/>
    </row>
    <row r="40" spans="1:45" x14ac:dyDescent="0.35">
      <c r="A40" s="226">
        <f t="shared" si="5"/>
        <v>45783</v>
      </c>
      <c r="B40" s="227">
        <f>YEAR(Daily_KPI[[#This Row],[Date]])+IF(MONTH(Daily_KPI[[#This Row],[Date]])&gt;=4,1,0)</f>
        <v>2026</v>
      </c>
      <c r="C40" s="6">
        <f>YEAR(Daily_KPI[[#This Row],[Date]])</f>
        <v>2025</v>
      </c>
      <c r="D40" s="228">
        <f>Daily_KPI[[#This Row],[Date]]-DAY(Daily_KPI[[#This Row],[Date]])+1</f>
        <v>45778</v>
      </c>
      <c r="E40" s="6">
        <f t="shared" si="0"/>
        <v>31</v>
      </c>
      <c r="F40" s="229">
        <f>IFERROR(_xlfn.XLOOKUP($A40,'Raw Data'!$A:$A,'Raw Data'!$BR:$BR),"")</f>
        <v>11.833333333333332</v>
      </c>
      <c r="G40" s="230">
        <f>IFERROR(_xlfn.XLOOKUP($A40,'Raw Data'!$A:$A,'Raw Data'!$AO:$AO),"")</f>
        <v>0</v>
      </c>
      <c r="H40" s="230"/>
      <c r="I40" s="230">
        <f>IFERROR(_xlfn.XLOOKUP($A40,'Raw Data'!$A:$A,'Raw Data'!$AR:$AR),"")</f>
        <v>6.239742215815486</v>
      </c>
      <c r="J40" s="230"/>
      <c r="K40" s="230">
        <f>IFERROR(_xlfn.XLOOKUP($A40,'Raw Data'!$A:$A,'Raw Data'!$AV:$AV),"")</f>
        <v>0</v>
      </c>
      <c r="L40" s="230">
        <f>IFERROR(_xlfn.XLOOKUP($A40,'Raw Data'!$A:$A,'Raw Data'!$AW:$AW),"")</f>
        <v>0</v>
      </c>
      <c r="M40" s="230">
        <f>IFERROR(_xlfn.XLOOKUP($A40,'Raw Data'!$A:$A,'Raw Data'!$AX:$AX),"")</f>
        <v>0</v>
      </c>
      <c r="N40" s="230">
        <f>IFERROR(_xlfn.XLOOKUP($A40,'Raw Data'!$A:$A,'Raw Data'!$AY:$AY),"")</f>
        <v>0</v>
      </c>
      <c r="O40" s="231">
        <f>IFERROR(1-(SUMIF('Plant BD'!$B:$B,A40,'Plant BD'!$AE:$AE)/(AA40+SUMIF('Plant BD'!$B:$B,A40,'Plant BD'!$AE:$AE))),"")</f>
        <v>1</v>
      </c>
      <c r="P40" s="231"/>
      <c r="Q40" s="232"/>
      <c r="R40" s="231">
        <f>IFERROR(1-(SUMIF('Grid BD'!$B:$B,$A40,'Grid BD'!$AD:$AD)/($AA40+SUMIF('Grid BD'!$B:$B,$A40,'Grid BD'!AD:AD))),"")</f>
        <v>1</v>
      </c>
      <c r="S40" s="6"/>
      <c r="T40" s="232"/>
      <c r="U40" s="233">
        <f t="shared" si="4"/>
        <v>0.76442309061314673</v>
      </c>
      <c r="V40" s="233"/>
      <c r="W40" s="234">
        <f t="shared" si="2"/>
        <v>0.19874179288512492</v>
      </c>
      <c r="X40" s="227">
        <f>IFERROR(_xlfn.XLOOKUP($A40,'Raw Data'!$A:$A,'Raw Data'!$BA:$BA),"")</f>
        <v>117943</v>
      </c>
      <c r="Y40" s="227">
        <f>IFERROR(_xlfn.XLOOKUP($A40,'Raw Data'!$A:$A,'Raw Data'!BJ:BJ),"")</f>
        <v>116797.69999999553</v>
      </c>
      <c r="Z40" s="227">
        <f>IFERROR(_xlfn.XLOOKUP($A40,'Raw Data'!$A:$A,'Raw Data'!BK:BK),"")</f>
        <v>876.70000000002801</v>
      </c>
      <c r="AA40" s="227">
        <f>IFERROR(_xlfn.XLOOKUP($A40,'Raw Data'!$A:$A,'Raw Data'!BL:BL),"")</f>
        <v>115920.9999999955</v>
      </c>
      <c r="AB40" s="227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27">
        <f>IFERROR(_xlfn.XLOOKUP($D40,'Modelling New'!$D:$D,'Modelling New'!$T:$T)*1000,"")</f>
        <v>119905.71730852894</v>
      </c>
      <c r="AE40" s="234">
        <f>IFERROR(_xlfn.XLOOKUP($D40,'Modelling New'!$D:$D,'Modelling New'!$O:$O),"")</f>
        <v>0.75566516656343796</v>
      </c>
      <c r="AF40" s="234">
        <f>IFERROR(_xlfn.XLOOKUP($D40,'Modelling New'!$D:$D,'Modelling New'!$W:$W),"")</f>
        <v>0.20557342703284925</v>
      </c>
      <c r="AG40" s="234">
        <f>IFERROR(_xlfn.XLOOKUP($D40,'Modelling New'!$D:$D,'Modelling New'!AE:AE),"")</f>
        <v>0.995</v>
      </c>
      <c r="AH40" s="234">
        <v>0.99750000000000005</v>
      </c>
      <c r="AI40" s="6"/>
      <c r="AJ40" s="6"/>
      <c r="AK40" s="6"/>
      <c r="AL40" s="6"/>
      <c r="AM40" s="6"/>
      <c r="AN40" s="231"/>
      <c r="AO40" s="234"/>
      <c r="AP40" s="234"/>
      <c r="AQ40" s="234"/>
      <c r="AR40" s="227">
        <f>IFERROR(_xlfn.XLOOKUP($D40,'Modelling New'!$D:$D,'Modelling New'!$N:$N),"")</f>
        <v>24.303100000000001</v>
      </c>
      <c r="AS40" s="227"/>
    </row>
    <row r="41" spans="1:45" x14ac:dyDescent="0.35">
      <c r="A41" s="226">
        <f t="shared" si="5"/>
        <v>45784</v>
      </c>
      <c r="B41" s="227">
        <f>YEAR(Daily_KPI[[#This Row],[Date]])+IF(MONTH(Daily_KPI[[#This Row],[Date]])&gt;=4,1,0)</f>
        <v>2026</v>
      </c>
      <c r="C41" s="6">
        <f>YEAR(Daily_KPI[[#This Row],[Date]])</f>
        <v>2025</v>
      </c>
      <c r="D41" s="228">
        <f>Daily_KPI[[#This Row],[Date]]-DAY(Daily_KPI[[#This Row],[Date]])+1</f>
        <v>45778</v>
      </c>
      <c r="E41" s="6">
        <f t="shared" si="0"/>
        <v>31</v>
      </c>
      <c r="F41" s="229">
        <f>IFERROR(_xlfn.XLOOKUP($A41,'Raw Data'!$A:$A,'Raw Data'!$BR:$BR),"")</f>
        <v>12.233333333333333</v>
      </c>
      <c r="G41" s="230">
        <f>IFERROR(_xlfn.XLOOKUP($A41,'Raw Data'!$A:$A,'Raw Data'!$AO:$AO),"")</f>
        <v>0</v>
      </c>
      <c r="H41" s="230"/>
      <c r="I41" s="230">
        <f>IFERROR(_xlfn.XLOOKUP($A41,'Raw Data'!$A:$A,'Raw Data'!$AR:$AR),"")</f>
        <v>4.834533855024711</v>
      </c>
      <c r="J41" s="230"/>
      <c r="K41" s="230">
        <f>IFERROR(_xlfn.XLOOKUP($A41,'Raw Data'!$A:$A,'Raw Data'!$AV:$AV),"")</f>
        <v>0</v>
      </c>
      <c r="L41" s="230">
        <f>IFERROR(_xlfn.XLOOKUP($A41,'Raw Data'!$A:$A,'Raw Data'!$AW:$AW),"")</f>
        <v>0</v>
      </c>
      <c r="M41" s="230">
        <f>IFERROR(_xlfn.XLOOKUP($A41,'Raw Data'!$A:$A,'Raw Data'!$AX:$AX),"")</f>
        <v>0</v>
      </c>
      <c r="N41" s="230">
        <f>IFERROR(_xlfn.XLOOKUP($A41,'Raw Data'!$A:$A,'Raw Data'!$AY:$AY),"")</f>
        <v>0</v>
      </c>
      <c r="O41" s="231">
        <f>IFERROR(1-(SUMIF('Plant BD'!$B:$B,A41,'Plant BD'!$AE:$AE)/(AA41+SUMIF('Plant BD'!$B:$B,A41,'Plant BD'!$AE:$AE))),"")</f>
        <v>0.9856035408337438</v>
      </c>
      <c r="P41" s="231"/>
      <c r="Q41" s="232"/>
      <c r="R41" s="231">
        <f>IFERROR(1-(SUMIF('Grid BD'!$B:$B,$A41,'Grid BD'!$AD:$AD)/($AA41+SUMIF('Grid BD'!$B:$B,$A41,'Grid BD'!AD:AD))),"")</f>
        <v>1</v>
      </c>
      <c r="S41" s="6"/>
      <c r="T41" s="232"/>
      <c r="U41" s="233">
        <f t="shared" si="4"/>
        <v>0.79111251326839849</v>
      </c>
      <c r="V41" s="233"/>
      <c r="W41" s="234">
        <f t="shared" si="2"/>
        <v>0.15936084285540661</v>
      </c>
      <c r="X41" s="227">
        <f>IFERROR(_xlfn.XLOOKUP($A41,'Raw Data'!$A:$A,'Raw Data'!$BA:$BA),"")</f>
        <v>94125</v>
      </c>
      <c r="Y41" s="227">
        <f>IFERROR(_xlfn.XLOOKUP($A41,'Raw Data'!$A:$A,'Raw Data'!BJ:BJ),"")</f>
        <v>93623.999999981606</v>
      </c>
      <c r="Z41" s="227">
        <f>IFERROR(_xlfn.XLOOKUP($A41,'Raw Data'!$A:$A,'Raw Data'!BK:BK),"")</f>
        <v>672.90000000002692</v>
      </c>
      <c r="AA41" s="227">
        <f>IFERROR(_xlfn.XLOOKUP($A41,'Raw Data'!$A:$A,'Raw Data'!BL:BL),"")</f>
        <v>92951.099999981583</v>
      </c>
      <c r="AB41" s="227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27">
        <f>IFERROR(_xlfn.XLOOKUP($D41,'Modelling New'!$D:$D,'Modelling New'!$T:$T)*1000,"")</f>
        <v>119905.71730852894</v>
      </c>
      <c r="AE41" s="234">
        <f>IFERROR(_xlfn.XLOOKUP($D41,'Modelling New'!$D:$D,'Modelling New'!$O:$O),"")</f>
        <v>0.75566516656343796</v>
      </c>
      <c r="AF41" s="234">
        <f>IFERROR(_xlfn.XLOOKUP($D41,'Modelling New'!$D:$D,'Modelling New'!$W:$W),"")</f>
        <v>0.20557342703284925</v>
      </c>
      <c r="AG41" s="234">
        <f>IFERROR(_xlfn.XLOOKUP($D41,'Modelling New'!$D:$D,'Modelling New'!AE:AE),"")</f>
        <v>0.995</v>
      </c>
      <c r="AH41" s="234">
        <v>0.99750000000000005</v>
      </c>
      <c r="AI41" s="6"/>
      <c r="AJ41" s="6"/>
      <c r="AK41" s="6"/>
      <c r="AL41" s="6"/>
      <c r="AM41" s="6"/>
      <c r="AN41" s="231"/>
      <c r="AO41" s="234"/>
      <c r="AP41" s="234"/>
      <c r="AQ41" s="234"/>
      <c r="AR41" s="227">
        <f>IFERROR(_xlfn.XLOOKUP($D41,'Modelling New'!$D:$D,'Modelling New'!$N:$N),"")</f>
        <v>24.303100000000001</v>
      </c>
      <c r="AS41" s="227"/>
    </row>
    <row r="42" spans="1:45" x14ac:dyDescent="0.35">
      <c r="A42" s="226">
        <f t="shared" si="5"/>
        <v>45785</v>
      </c>
      <c r="B42" s="227">
        <f>YEAR(Daily_KPI[[#This Row],[Date]])+IF(MONTH(Daily_KPI[[#This Row],[Date]])&gt;=4,1,0)</f>
        <v>2026</v>
      </c>
      <c r="C42" s="6">
        <f>YEAR(Daily_KPI[[#This Row],[Date]])</f>
        <v>2025</v>
      </c>
      <c r="D42" s="228">
        <f>Daily_KPI[[#This Row],[Date]]-DAY(Daily_KPI[[#This Row],[Date]])+1</f>
        <v>45778</v>
      </c>
      <c r="E42" s="6">
        <f t="shared" si="0"/>
        <v>31</v>
      </c>
      <c r="F42" s="229">
        <f>IFERROR(_xlfn.XLOOKUP($A42,'Raw Data'!$A:$A,'Raw Data'!$BR:$BR),"")</f>
        <v>12.2</v>
      </c>
      <c r="G42" s="230">
        <f>IFERROR(_xlfn.XLOOKUP($A42,'Raw Data'!$A:$A,'Raw Data'!$AO:$AO),"")</f>
        <v>0</v>
      </c>
      <c r="H42" s="230"/>
      <c r="I42" s="230">
        <f>IFERROR(_xlfn.XLOOKUP($A42,'Raw Data'!$A:$A,'Raw Data'!$AR:$AR),"")</f>
        <v>5.801373393739703</v>
      </c>
      <c r="J42" s="230"/>
      <c r="K42" s="230">
        <f>IFERROR(_xlfn.XLOOKUP($A42,'Raw Data'!$A:$A,'Raw Data'!$AV:$AV),"")</f>
        <v>0</v>
      </c>
      <c r="L42" s="230">
        <f>IFERROR(_xlfn.XLOOKUP($A42,'Raw Data'!$A:$A,'Raw Data'!$AW:$AW),"")</f>
        <v>0</v>
      </c>
      <c r="M42" s="230">
        <f>IFERROR(_xlfn.XLOOKUP($A42,'Raw Data'!$A:$A,'Raw Data'!$AX:$AX),"")</f>
        <v>0</v>
      </c>
      <c r="N42" s="230">
        <f>IFERROR(_xlfn.XLOOKUP($A42,'Raw Data'!$A:$A,'Raw Data'!$AY:$AY),"")</f>
        <v>0</v>
      </c>
      <c r="O42" s="231">
        <f>IFERROR(1-(SUMIF('Plant BD'!$B:$B,A42,'Plant BD'!$AE:$AE)/(AA42+SUMIF('Plant BD'!$B:$B,A42,'Plant BD'!$AE:$AE))),"")</f>
        <v>0.97975672305080319</v>
      </c>
      <c r="P42" s="231"/>
      <c r="Q42" s="232"/>
      <c r="R42" s="231">
        <f>IFERROR(1-(SUMIF('Grid BD'!$B:$B,$A42,'Grid BD'!$AD:$AD)/($AA42+SUMIF('Grid BD'!$B:$B,$A42,'Grid BD'!AD:AD))),"")</f>
        <v>1</v>
      </c>
      <c r="S42" s="6"/>
      <c r="T42" s="232"/>
      <c r="U42" s="233">
        <f t="shared" si="4"/>
        <v>0.73928644763474338</v>
      </c>
      <c r="V42" s="233"/>
      <c r="W42" s="234">
        <f t="shared" si="2"/>
        <v>0.17870319698585585</v>
      </c>
      <c r="X42" s="227">
        <f>IFERROR(_xlfn.XLOOKUP($A42,'Raw Data'!$A:$A,'Raw Data'!$BA:$BA),"")</f>
        <v>105822</v>
      </c>
      <c r="Y42" s="227">
        <f>IFERROR(_xlfn.XLOOKUP($A42,'Raw Data'!$A:$A,'Raw Data'!BJ:BJ),"")</f>
        <v>104921.10000000685</v>
      </c>
      <c r="Z42" s="227">
        <f>IFERROR(_xlfn.XLOOKUP($A42,'Raw Data'!$A:$A,'Raw Data'!BK:BK),"")</f>
        <v>688.09999999996307</v>
      </c>
      <c r="AA42" s="227">
        <f>IFERROR(_xlfn.XLOOKUP($A42,'Raw Data'!$A:$A,'Raw Data'!BL:BL),"")</f>
        <v>104233.00000000688</v>
      </c>
      <c r="AB42" s="227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27">
        <f>IFERROR(_xlfn.XLOOKUP($D42,'Modelling New'!$D:$D,'Modelling New'!$T:$T)*1000,"")</f>
        <v>119905.71730852894</v>
      </c>
      <c r="AE42" s="234">
        <f>IFERROR(_xlfn.XLOOKUP($D42,'Modelling New'!$D:$D,'Modelling New'!$O:$O),"")</f>
        <v>0.75566516656343796</v>
      </c>
      <c r="AF42" s="234">
        <f>IFERROR(_xlfn.XLOOKUP($D42,'Modelling New'!$D:$D,'Modelling New'!$W:$W),"")</f>
        <v>0.20557342703284925</v>
      </c>
      <c r="AG42" s="234">
        <f>IFERROR(_xlfn.XLOOKUP($D42,'Modelling New'!$D:$D,'Modelling New'!AE:AE),"")</f>
        <v>0.995</v>
      </c>
      <c r="AH42" s="234">
        <v>0.99750000000000005</v>
      </c>
      <c r="AI42" s="6"/>
      <c r="AJ42" s="6"/>
      <c r="AK42" s="6"/>
      <c r="AL42" s="6"/>
      <c r="AM42" s="6"/>
      <c r="AN42" s="231"/>
      <c r="AO42" s="234"/>
      <c r="AP42" s="234"/>
      <c r="AQ42" s="234"/>
      <c r="AR42" s="227">
        <f>IFERROR(_xlfn.XLOOKUP($D42,'Modelling New'!$D:$D,'Modelling New'!$N:$N),"")</f>
        <v>24.303100000000001</v>
      </c>
      <c r="AS42" s="227"/>
    </row>
    <row r="43" spans="1:45" x14ac:dyDescent="0.35">
      <c r="A43" s="226">
        <f t="shared" si="5"/>
        <v>45786</v>
      </c>
      <c r="B43" s="227">
        <f>YEAR(Daily_KPI[[#This Row],[Date]])+IF(MONTH(Daily_KPI[[#This Row],[Date]])&gt;=4,1,0)</f>
        <v>2026</v>
      </c>
      <c r="C43" s="6">
        <f>YEAR(Daily_KPI[[#This Row],[Date]])</f>
        <v>2025</v>
      </c>
      <c r="D43" s="228">
        <f>Daily_KPI[[#This Row],[Date]]-DAY(Daily_KPI[[#This Row],[Date]])+1</f>
        <v>45778</v>
      </c>
      <c r="E43" s="6">
        <f t="shared" si="0"/>
        <v>31</v>
      </c>
      <c r="F43" s="229">
        <f>IFERROR(_xlfn.XLOOKUP($A43,'Raw Data'!$A:$A,'Raw Data'!$BR:$BR),"")</f>
        <v>12.299999999999999</v>
      </c>
      <c r="G43" s="230">
        <f>IFERROR(_xlfn.XLOOKUP($A43,'Raw Data'!$A:$A,'Raw Data'!$AO:$AO),"")</f>
        <v>0</v>
      </c>
      <c r="H43" s="230"/>
      <c r="I43" s="230">
        <f>IFERROR(_xlfn.XLOOKUP($A43,'Raw Data'!$A:$A,'Raw Data'!$AR:$AR),"")</f>
        <v>5.4124768121911035</v>
      </c>
      <c r="J43" s="230"/>
      <c r="K43" s="230">
        <f>IFERROR(_xlfn.XLOOKUP($A43,'Raw Data'!$A:$A,'Raw Data'!$AV:$AV),"")</f>
        <v>0</v>
      </c>
      <c r="L43" s="230">
        <f>IFERROR(_xlfn.XLOOKUP($A43,'Raw Data'!$A:$A,'Raw Data'!$AW:$AW),"")</f>
        <v>0</v>
      </c>
      <c r="M43" s="230">
        <f>IFERROR(_xlfn.XLOOKUP($A43,'Raw Data'!$A:$A,'Raw Data'!$AX:$AX),"")</f>
        <v>0</v>
      </c>
      <c r="N43" s="230">
        <f>IFERROR(_xlfn.XLOOKUP($A43,'Raw Data'!$A:$A,'Raw Data'!$AY:$AY),"")</f>
        <v>0</v>
      </c>
      <c r="O43" s="231">
        <f>IFERROR(1-(SUMIF('Plant BD'!$B:$B,A43,'Plant BD'!$AE:$AE)/(AA43+SUMIF('Plant BD'!$B:$B,A43,'Plant BD'!$AE:$AE))),"")</f>
        <v>0.99038083557564949</v>
      </c>
      <c r="P43" s="231"/>
      <c r="Q43" s="232"/>
      <c r="R43" s="231">
        <f>IFERROR(1-(SUMIF('Grid BD'!$B:$B,$A43,'Grid BD'!$AD:$AD)/($AA43+SUMIF('Grid BD'!$B:$B,$A43,'Grid BD'!AD:AD))),"")</f>
        <v>1</v>
      </c>
      <c r="S43" s="6"/>
      <c r="T43" s="232"/>
      <c r="U43" s="233">
        <f t="shared" si="4"/>
        <v>0.75545481434527861</v>
      </c>
      <c r="V43" s="233"/>
      <c r="W43" s="234">
        <f t="shared" ref="W43:W106" si="6">IFERROR(AA43/(24*AR43*1000),"")</f>
        <v>0.17037006938758145</v>
      </c>
      <c r="X43" s="227">
        <f>IFERROR(_xlfn.XLOOKUP($A43,'Raw Data'!$A:$A,'Raw Data'!$BA:$BA),"")</f>
        <v>100732</v>
      </c>
      <c r="Y43" s="227">
        <f>IFERROR(_xlfn.XLOOKUP($A43,'Raw Data'!$A:$A,'Raw Data'!BJ:BJ),"")</f>
        <v>100096.19999999995</v>
      </c>
      <c r="Z43" s="227">
        <f>IFERROR(_xlfn.XLOOKUP($A43,'Raw Data'!$A:$A,'Raw Data'!BK:BK),"")</f>
        <v>723.700000000008</v>
      </c>
      <c r="AA43" s="227">
        <f>IFERROR(_xlfn.XLOOKUP($A43,'Raw Data'!$A:$A,'Raw Data'!BL:BL),"")</f>
        <v>99372.499999999942</v>
      </c>
      <c r="AB43" s="227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27">
        <f>IFERROR(_xlfn.XLOOKUP($D43,'Modelling New'!$D:$D,'Modelling New'!$T:$T)*1000,"")</f>
        <v>119905.71730852894</v>
      </c>
      <c r="AE43" s="234">
        <f>IFERROR(_xlfn.XLOOKUP($D43,'Modelling New'!$D:$D,'Modelling New'!$O:$O),"")</f>
        <v>0.75566516656343796</v>
      </c>
      <c r="AF43" s="234">
        <f>IFERROR(_xlfn.XLOOKUP($D43,'Modelling New'!$D:$D,'Modelling New'!$W:$W),"")</f>
        <v>0.20557342703284925</v>
      </c>
      <c r="AG43" s="234">
        <f>IFERROR(_xlfn.XLOOKUP($D43,'Modelling New'!$D:$D,'Modelling New'!AE:AE),"")</f>
        <v>0.995</v>
      </c>
      <c r="AH43" s="234">
        <v>0.99750000000000005</v>
      </c>
      <c r="AI43" s="6"/>
      <c r="AJ43" s="6"/>
      <c r="AK43" s="6"/>
      <c r="AL43" s="6"/>
      <c r="AM43" s="6"/>
      <c r="AN43" s="231"/>
      <c r="AO43" s="234"/>
      <c r="AP43" s="234"/>
      <c r="AQ43" s="234"/>
      <c r="AR43" s="227">
        <f>IFERROR(_xlfn.XLOOKUP($D43,'Modelling New'!$D:$D,'Modelling New'!$N:$N),"")</f>
        <v>24.303100000000001</v>
      </c>
      <c r="AS43" s="227"/>
    </row>
    <row r="44" spans="1:45" x14ac:dyDescent="0.35">
      <c r="A44" s="226">
        <f t="shared" si="5"/>
        <v>45787</v>
      </c>
      <c r="B44" s="227">
        <f>YEAR(Daily_KPI[[#This Row],[Date]])+IF(MONTH(Daily_KPI[[#This Row],[Date]])&gt;=4,1,0)</f>
        <v>2026</v>
      </c>
      <c r="C44" s="6">
        <f>YEAR(Daily_KPI[[#This Row],[Date]])</f>
        <v>2025</v>
      </c>
      <c r="D44" s="228">
        <f>Daily_KPI[[#This Row],[Date]]-DAY(Daily_KPI[[#This Row],[Date]])+1</f>
        <v>45778</v>
      </c>
      <c r="E44" s="6">
        <f t="shared" si="0"/>
        <v>31</v>
      </c>
      <c r="F44" s="229">
        <f>IFERROR(_xlfn.XLOOKUP($A44,'Raw Data'!$A:$A,'Raw Data'!$BR:$BR),"")</f>
        <v>12.266666666666666</v>
      </c>
      <c r="G44" s="230">
        <f>IFERROR(_xlfn.XLOOKUP($A44,'Raw Data'!$A:$A,'Raw Data'!$AO:$AO),"")</f>
        <v>0</v>
      </c>
      <c r="H44" s="230"/>
      <c r="I44" s="230">
        <f>IFERROR(_xlfn.XLOOKUP($A44,'Raw Data'!$A:$A,'Raw Data'!$AR:$AR),"")</f>
        <v>5.2717004118616142</v>
      </c>
      <c r="J44" s="230"/>
      <c r="K44" s="230">
        <f>IFERROR(_xlfn.XLOOKUP($A44,'Raw Data'!$A:$A,'Raw Data'!$AV:$AV),"")</f>
        <v>0</v>
      </c>
      <c r="L44" s="230">
        <f>IFERROR(_xlfn.XLOOKUP($A44,'Raw Data'!$A:$A,'Raw Data'!$AW:$AW),"")</f>
        <v>0</v>
      </c>
      <c r="M44" s="230">
        <f>IFERROR(_xlfn.XLOOKUP($A44,'Raw Data'!$A:$A,'Raw Data'!$AX:$AX),"")</f>
        <v>0</v>
      </c>
      <c r="N44" s="230">
        <f>IFERROR(_xlfn.XLOOKUP($A44,'Raw Data'!$A:$A,'Raw Data'!$AY:$AY),"")</f>
        <v>0</v>
      </c>
      <c r="O44" s="231">
        <f>IFERROR(1-(SUMIF('Plant BD'!$B:$B,A44,'Plant BD'!$AE:$AE)/(AA44+SUMIF('Plant BD'!$B:$B,A44,'Plant BD'!$AE:$AE))),"")</f>
        <v>1</v>
      </c>
      <c r="P44" s="231"/>
      <c r="Q44" s="232"/>
      <c r="R44" s="231">
        <f>IFERROR(1-(SUMIF('Grid BD'!$B:$B,$A44,'Grid BD'!$AD:$AD)/($AA44+SUMIF('Grid BD'!$B:$B,$A44,'Grid BD'!AD:AD))),"")</f>
        <v>1</v>
      </c>
      <c r="S44" s="6"/>
      <c r="T44" s="232"/>
      <c r="U44" s="233">
        <f t="shared" si="4"/>
        <v>0.79555154718702925</v>
      </c>
      <c r="V44" s="233"/>
      <c r="W44" s="234">
        <f t="shared" si="6"/>
        <v>0.17474622579012525</v>
      </c>
      <c r="X44" s="227">
        <f>IFERROR(_xlfn.XLOOKUP($A44,'Raw Data'!$A:$A,'Raw Data'!$BA:$BA),"")</f>
        <v>103959</v>
      </c>
      <c r="Y44" s="227">
        <f>IFERROR(_xlfn.XLOOKUP($A44,'Raw Data'!$A:$A,'Raw Data'!BJ:BJ),"")</f>
        <v>102976.09999999986</v>
      </c>
      <c r="Z44" s="227">
        <f>IFERROR(_xlfn.XLOOKUP($A44,'Raw Data'!$A:$A,'Raw Data'!BK:BK),"")</f>
        <v>1051.1000000000195</v>
      </c>
      <c r="AA44" s="227">
        <f>IFERROR(_xlfn.XLOOKUP($A44,'Raw Data'!$A:$A,'Raw Data'!BL:BL),"")</f>
        <v>101924.99999999984</v>
      </c>
      <c r="AB44" s="227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27">
        <f>IFERROR(_xlfn.XLOOKUP($D44,'Modelling New'!$D:$D,'Modelling New'!$T:$T)*1000,"")</f>
        <v>119905.71730852894</v>
      </c>
      <c r="AE44" s="234">
        <f>IFERROR(_xlfn.XLOOKUP($D44,'Modelling New'!$D:$D,'Modelling New'!$O:$O),"")</f>
        <v>0.75566516656343796</v>
      </c>
      <c r="AF44" s="234">
        <f>IFERROR(_xlfn.XLOOKUP($D44,'Modelling New'!$D:$D,'Modelling New'!$W:$W),"")</f>
        <v>0.20557342703284925</v>
      </c>
      <c r="AG44" s="234">
        <f>IFERROR(_xlfn.XLOOKUP($D44,'Modelling New'!$D:$D,'Modelling New'!AE:AE),"")</f>
        <v>0.995</v>
      </c>
      <c r="AH44" s="234">
        <v>0.99750000000000005</v>
      </c>
      <c r="AI44" s="6"/>
      <c r="AJ44" s="6"/>
      <c r="AK44" s="6"/>
      <c r="AL44" s="6"/>
      <c r="AM44" s="6"/>
      <c r="AN44" s="231"/>
      <c r="AO44" s="234"/>
      <c r="AP44" s="234"/>
      <c r="AQ44" s="234"/>
      <c r="AR44" s="227">
        <f>IFERROR(_xlfn.XLOOKUP($D44,'Modelling New'!$D:$D,'Modelling New'!$N:$N),"")</f>
        <v>24.303100000000001</v>
      </c>
      <c r="AS44" s="227"/>
    </row>
    <row r="45" spans="1:45" x14ac:dyDescent="0.35">
      <c r="A45" s="226">
        <f t="shared" si="5"/>
        <v>45788</v>
      </c>
      <c r="B45" s="227">
        <f>YEAR(Daily_KPI[[#This Row],[Date]])+IF(MONTH(Daily_KPI[[#This Row],[Date]])&gt;=4,1,0)</f>
        <v>2026</v>
      </c>
      <c r="C45" s="6">
        <f>YEAR(Daily_KPI[[#This Row],[Date]])</f>
        <v>2025</v>
      </c>
      <c r="D45" s="228">
        <f>Daily_KPI[[#This Row],[Date]]-DAY(Daily_KPI[[#This Row],[Date]])+1</f>
        <v>45778</v>
      </c>
      <c r="E45" s="6">
        <f t="shared" si="0"/>
        <v>31</v>
      </c>
      <c r="F45" s="229">
        <f>IFERROR(_xlfn.XLOOKUP($A45,'Raw Data'!$A:$A,'Raw Data'!$BR:$BR),"")</f>
        <v>11.566666666666666</v>
      </c>
      <c r="G45" s="230">
        <f>IFERROR(_xlfn.XLOOKUP($A45,'Raw Data'!$A:$A,'Raw Data'!$AO:$AO),"")</f>
        <v>0</v>
      </c>
      <c r="H45" s="230"/>
      <c r="I45" s="230">
        <f>IFERROR(_xlfn.XLOOKUP($A45,'Raw Data'!$A:$A,'Raw Data'!$AR:$AR),"")</f>
        <v>5.4253947281713337</v>
      </c>
      <c r="J45" s="230"/>
      <c r="K45" s="230">
        <f>IFERROR(_xlfn.XLOOKUP($A45,'Raw Data'!$A:$A,'Raw Data'!$AV:$AV),"")</f>
        <v>0</v>
      </c>
      <c r="L45" s="230">
        <f>IFERROR(_xlfn.XLOOKUP($A45,'Raw Data'!$A:$A,'Raw Data'!$AW:$AW),"")</f>
        <v>0</v>
      </c>
      <c r="M45" s="230">
        <f>IFERROR(_xlfn.XLOOKUP($A45,'Raw Data'!$A:$A,'Raw Data'!$AX:$AX),"")</f>
        <v>0</v>
      </c>
      <c r="N45" s="230">
        <f>IFERROR(_xlfn.XLOOKUP($A45,'Raw Data'!$A:$A,'Raw Data'!$AY:$AY),"")</f>
        <v>0</v>
      </c>
      <c r="O45" s="231">
        <f>IFERROR(1-(SUMIF('Plant BD'!$B:$B,A45,'Plant BD'!$AE:$AE)/(AA45+SUMIF('Plant BD'!$B:$B,A45,'Plant BD'!$AE:$AE))),"")</f>
        <v>1</v>
      </c>
      <c r="P45" s="231"/>
      <c r="Q45" s="232"/>
      <c r="R45" s="231">
        <f>IFERROR(1-(SUMIF('Grid BD'!$B:$B,$A45,'Grid BD'!$AD:$AD)/($AA45+SUMIF('Grid BD'!$B:$B,$A45,'Grid BD'!AD:AD))),"")</f>
        <v>1</v>
      </c>
      <c r="S45" s="6"/>
      <c r="T45" s="232"/>
      <c r="U45" s="233">
        <f t="shared" si="4"/>
        <v>0.78862659069016039</v>
      </c>
      <c r="V45" s="233"/>
      <c r="W45" s="234">
        <f t="shared" si="6"/>
        <v>0.17827543948442201</v>
      </c>
      <c r="X45" s="227">
        <f>IFERROR(_xlfn.XLOOKUP($A45,'Raw Data'!$A:$A,'Raw Data'!$BA:$BA),"")</f>
        <v>105738</v>
      </c>
      <c r="Y45" s="227">
        <f>IFERROR(_xlfn.XLOOKUP($A45,'Raw Data'!$A:$A,'Raw Data'!BJ:BJ),"")</f>
        <v>104934.70000001253</v>
      </c>
      <c r="Z45" s="227">
        <f>IFERROR(_xlfn.XLOOKUP($A45,'Raw Data'!$A:$A,'Raw Data'!BK:BK),"")</f>
        <v>951.19999999997162</v>
      </c>
      <c r="AA45" s="227">
        <f>IFERROR(_xlfn.XLOOKUP($A45,'Raw Data'!$A:$A,'Raw Data'!BL:BL),"")</f>
        <v>103983.50000001256</v>
      </c>
      <c r="AB45" s="227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27">
        <f>IFERROR(_xlfn.XLOOKUP($D45,'Modelling New'!$D:$D,'Modelling New'!$T:$T)*1000,"")</f>
        <v>119905.71730852894</v>
      </c>
      <c r="AE45" s="234">
        <f>IFERROR(_xlfn.XLOOKUP($D45,'Modelling New'!$D:$D,'Modelling New'!$O:$O),"")</f>
        <v>0.75566516656343796</v>
      </c>
      <c r="AF45" s="234">
        <f>IFERROR(_xlfn.XLOOKUP($D45,'Modelling New'!$D:$D,'Modelling New'!$W:$W),"")</f>
        <v>0.20557342703284925</v>
      </c>
      <c r="AG45" s="234">
        <f>IFERROR(_xlfn.XLOOKUP($D45,'Modelling New'!$D:$D,'Modelling New'!AE:AE),"")</f>
        <v>0.995</v>
      </c>
      <c r="AH45" s="234">
        <v>0.99750000000000005</v>
      </c>
      <c r="AI45" s="6"/>
      <c r="AJ45" s="6"/>
      <c r="AK45" s="6"/>
      <c r="AL45" s="6"/>
      <c r="AM45" s="6"/>
      <c r="AN45" s="231"/>
      <c r="AO45" s="234"/>
      <c r="AP45" s="234"/>
      <c r="AQ45" s="234"/>
      <c r="AR45" s="227">
        <f>IFERROR(_xlfn.XLOOKUP($D45,'Modelling New'!$D:$D,'Modelling New'!$N:$N),"")</f>
        <v>24.303100000000001</v>
      </c>
      <c r="AS45" s="227"/>
    </row>
    <row r="46" spans="1:45" x14ac:dyDescent="0.35">
      <c r="A46" s="226">
        <f t="shared" si="5"/>
        <v>45789</v>
      </c>
      <c r="B46" s="227">
        <f>YEAR(Daily_KPI[[#This Row],[Date]])+IF(MONTH(Daily_KPI[[#This Row],[Date]])&gt;=4,1,0)</f>
        <v>2026</v>
      </c>
      <c r="C46" s="6">
        <f>YEAR(Daily_KPI[[#This Row],[Date]])</f>
        <v>2025</v>
      </c>
      <c r="D46" s="228">
        <f>Daily_KPI[[#This Row],[Date]]-DAY(Daily_KPI[[#This Row],[Date]])+1</f>
        <v>45778</v>
      </c>
      <c r="E46" s="6">
        <f t="shared" si="0"/>
        <v>31</v>
      </c>
      <c r="F46" s="229">
        <f>IFERROR(_xlfn.XLOOKUP($A46,'Raw Data'!$A:$A,'Raw Data'!$BR:$BR),"")</f>
        <v>9.35</v>
      </c>
      <c r="G46" s="230" t="str">
        <f>IFERROR(_xlfn.XLOOKUP($A46,'Raw Data'!$A:$A,'Raw Data'!$AO:$AO),"")</f>
        <v> </v>
      </c>
      <c r="H46" s="230"/>
      <c r="I46" s="230">
        <f>IFERROR(_xlfn.XLOOKUP($A46,'Raw Data'!$A:$A,'Raw Data'!$AR:$AR),"")</f>
        <v>4.9710646622734753</v>
      </c>
      <c r="J46" s="230"/>
      <c r="K46" s="230">
        <f>IFERROR(_xlfn.XLOOKUP($A46,'Raw Data'!$A:$A,'Raw Data'!$AV:$AV),"")</f>
        <v>0</v>
      </c>
      <c r="L46" s="230">
        <f>IFERROR(_xlfn.XLOOKUP($A46,'Raw Data'!$A:$A,'Raw Data'!$AW:$AW),"")</f>
        <v>0</v>
      </c>
      <c r="M46" s="230">
        <f>IFERROR(_xlfn.XLOOKUP($A46,'Raw Data'!$A:$A,'Raw Data'!$AX:$AX),"")</f>
        <v>0</v>
      </c>
      <c r="N46" s="230">
        <f>IFERROR(_xlfn.XLOOKUP($A46,'Raw Data'!$A:$A,'Raw Data'!$AY:$AY),"")</f>
        <v>0</v>
      </c>
      <c r="O46" s="231">
        <f>IFERROR(1-(SUMIF('Plant BD'!$B:$B,A46,'Plant BD'!$AE:$AE)/(AA46+SUMIF('Plant BD'!$B:$B,A46,'Plant BD'!$AE:$AE))),"")</f>
        <v>1</v>
      </c>
      <c r="P46" s="231"/>
      <c r="Q46" s="232"/>
      <c r="R46" s="231">
        <f>IFERROR(1-(SUMIF('Grid BD'!$B:$B,$A46,'Grid BD'!$AD:$AD)/($AA46+SUMIF('Grid BD'!$B:$B,$A46,'Grid BD'!AD:AD))),"")</f>
        <v>1</v>
      </c>
      <c r="S46" s="6"/>
      <c r="T46" s="232"/>
      <c r="U46" s="233">
        <f t="shared" si="4"/>
        <v>0.77506995782854571</v>
      </c>
      <c r="V46" s="233"/>
      <c r="W46" s="234">
        <f t="shared" si="6"/>
        <v>0.16053845325630317</v>
      </c>
      <c r="X46" s="227">
        <f>IFERROR(_xlfn.XLOOKUP($A46,'Raw Data'!$A:$A,'Raw Data'!$BA:$BA),"")</f>
        <v>97970</v>
      </c>
      <c r="Y46" s="227">
        <f>IFERROR(_xlfn.XLOOKUP($A46,'Raw Data'!$A:$A,'Raw Data'!BJ:BJ),"")</f>
        <v>94463.199999998324</v>
      </c>
      <c r="Z46" s="227">
        <f>IFERROR(_xlfn.XLOOKUP($A46,'Raw Data'!$A:$A,'Raw Data'!BK:BK),"")</f>
        <v>825.23000000003321</v>
      </c>
      <c r="AA46" s="227">
        <f>IFERROR(_xlfn.XLOOKUP($A46,'Raw Data'!$A:$A,'Raw Data'!BL:BL),"")</f>
        <v>93637.969999998284</v>
      </c>
      <c r="AB46" s="227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27">
        <f>IFERROR(_xlfn.XLOOKUP($D46,'Modelling New'!$D:$D,'Modelling New'!$T:$T)*1000,"")</f>
        <v>119905.71730852894</v>
      </c>
      <c r="AE46" s="234">
        <f>IFERROR(_xlfn.XLOOKUP($D46,'Modelling New'!$D:$D,'Modelling New'!$O:$O),"")</f>
        <v>0.75566516656343796</v>
      </c>
      <c r="AF46" s="234">
        <f>IFERROR(_xlfn.XLOOKUP($D46,'Modelling New'!$D:$D,'Modelling New'!$W:$W),"")</f>
        <v>0.20557342703284925</v>
      </c>
      <c r="AG46" s="234">
        <f>IFERROR(_xlfn.XLOOKUP($D46,'Modelling New'!$D:$D,'Modelling New'!AE:AE),"")</f>
        <v>0.995</v>
      </c>
      <c r="AH46" s="234">
        <v>0.99750000000000005</v>
      </c>
      <c r="AI46" s="6"/>
      <c r="AJ46" s="6"/>
      <c r="AK46" s="6"/>
      <c r="AL46" s="6"/>
      <c r="AM46" s="6"/>
      <c r="AN46" s="231"/>
      <c r="AO46" s="234"/>
      <c r="AP46" s="234"/>
      <c r="AQ46" s="234"/>
      <c r="AR46" s="227">
        <f>IFERROR(_xlfn.XLOOKUP($D46,'Modelling New'!$D:$D,'Modelling New'!$N:$N),"")</f>
        <v>24.303100000000001</v>
      </c>
      <c r="AS46" s="227"/>
    </row>
    <row r="47" spans="1:45" x14ac:dyDescent="0.35">
      <c r="A47" s="226">
        <f t="shared" si="5"/>
        <v>45790</v>
      </c>
      <c r="B47" s="227">
        <f>YEAR(Daily_KPI[[#This Row],[Date]])+IF(MONTH(Daily_KPI[[#This Row],[Date]])&gt;=4,1,0)</f>
        <v>2026</v>
      </c>
      <c r="C47" s="6">
        <f>YEAR(Daily_KPI[[#This Row],[Date]])</f>
        <v>2025</v>
      </c>
      <c r="D47" s="228">
        <f>Daily_KPI[[#This Row],[Date]]-DAY(Daily_KPI[[#This Row],[Date]])+1</f>
        <v>45778</v>
      </c>
      <c r="E47" s="6">
        <f t="shared" si="0"/>
        <v>31</v>
      </c>
      <c r="F47" s="229">
        <f>IFERROR(_xlfn.XLOOKUP($A47,'Raw Data'!$A:$A,'Raw Data'!$BR:$BR),"")</f>
        <v>12.033333333333333</v>
      </c>
      <c r="G47" s="230">
        <f>IFERROR(_xlfn.XLOOKUP($A47,'Raw Data'!$A:$A,'Raw Data'!$AO:$AO),"")</f>
        <v>0</v>
      </c>
      <c r="H47" s="230"/>
      <c r="I47" s="230">
        <f>IFERROR(_xlfn.XLOOKUP($A47,'Raw Data'!$A:$A,'Raw Data'!$AR:$AR),"")</f>
        <v>5.5796205107084011</v>
      </c>
      <c r="J47" s="230"/>
      <c r="K47" s="230">
        <f>IFERROR(_xlfn.XLOOKUP($A47,'Raw Data'!$A:$A,'Raw Data'!$AV:$AV),"")</f>
        <v>0</v>
      </c>
      <c r="L47" s="230">
        <f>IFERROR(_xlfn.XLOOKUP($A47,'Raw Data'!$A:$A,'Raw Data'!$AW:$AW),"")</f>
        <v>0</v>
      </c>
      <c r="M47" s="230">
        <f>IFERROR(_xlfn.XLOOKUP($A47,'Raw Data'!$A:$A,'Raw Data'!$AX:$AX),"")</f>
        <v>0</v>
      </c>
      <c r="N47" s="230">
        <f>IFERROR(_xlfn.XLOOKUP($A47,'Raw Data'!$A:$A,'Raw Data'!$AY:$AY),"")</f>
        <v>0</v>
      </c>
      <c r="O47" s="231">
        <f>IFERROR(1-(SUMIF('Plant BD'!$B:$B,A47,'Plant BD'!$AE:$AE)/(AA47+SUMIF('Plant BD'!$B:$B,A47,'Plant BD'!$AE:$AE))),"")</f>
        <v>0.93479711059516091</v>
      </c>
      <c r="P47" s="231"/>
      <c r="Q47" s="232"/>
      <c r="R47" s="231">
        <f>IFERROR(1-(SUMIF('Grid BD'!$B:$B,$A47,'Grid BD'!$AD:$AD)/($AA47+SUMIF('Grid BD'!$B:$B,$A47,'Grid BD'!AD:AD))),"")</f>
        <v>1</v>
      </c>
      <c r="S47" s="6"/>
      <c r="T47" s="232"/>
      <c r="U47" s="233">
        <f t="shared" si="4"/>
        <v>0.66152143944199193</v>
      </c>
      <c r="V47" s="233"/>
      <c r="W47" s="234">
        <f t="shared" si="6"/>
        <v>0.15379327465766182</v>
      </c>
      <c r="X47" s="227">
        <f>IFERROR(_xlfn.XLOOKUP($A47,'Raw Data'!$A:$A,'Raw Data'!$BA:$BA),"")</f>
        <v>86301</v>
      </c>
      <c r="Y47" s="227">
        <f>IFERROR(_xlfn.XLOOKUP($A47,'Raw Data'!$A:$A,'Raw Data'!BJ:BJ),"")</f>
        <v>89742.89999998291</v>
      </c>
      <c r="Z47" s="227">
        <f>IFERROR(_xlfn.XLOOKUP($A47,'Raw Data'!$A:$A,'Raw Data'!BK:BK),"")</f>
        <v>39.220000000000255</v>
      </c>
      <c r="AA47" s="227">
        <f>IFERROR(_xlfn.XLOOKUP($A47,'Raw Data'!$A:$A,'Raw Data'!BL:BL),"")</f>
        <v>89703.679999982909</v>
      </c>
      <c r="AB47" s="227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27">
        <f>IFERROR(_xlfn.XLOOKUP($D47,'Modelling New'!$D:$D,'Modelling New'!$T:$T)*1000,"")</f>
        <v>119905.71730852894</v>
      </c>
      <c r="AE47" s="234">
        <f>IFERROR(_xlfn.XLOOKUP($D47,'Modelling New'!$D:$D,'Modelling New'!$O:$O),"")</f>
        <v>0.75566516656343796</v>
      </c>
      <c r="AF47" s="234">
        <f>IFERROR(_xlfn.XLOOKUP($D47,'Modelling New'!$D:$D,'Modelling New'!$W:$W),"")</f>
        <v>0.20557342703284925</v>
      </c>
      <c r="AG47" s="234">
        <f>IFERROR(_xlfn.XLOOKUP($D47,'Modelling New'!$D:$D,'Modelling New'!AE:AE),"")</f>
        <v>0.995</v>
      </c>
      <c r="AH47" s="234">
        <v>0.99750000000000005</v>
      </c>
      <c r="AI47" s="6"/>
      <c r="AJ47" s="6"/>
      <c r="AK47" s="6"/>
      <c r="AL47" s="6"/>
      <c r="AM47" s="6"/>
      <c r="AN47" s="231"/>
      <c r="AO47" s="234"/>
      <c r="AP47" s="234"/>
      <c r="AQ47" s="234"/>
      <c r="AR47" s="227">
        <f>IFERROR(_xlfn.XLOOKUP($D47,'Modelling New'!$D:$D,'Modelling New'!$N:$N),"")</f>
        <v>24.303100000000001</v>
      </c>
      <c r="AS47" s="227"/>
    </row>
    <row r="48" spans="1:45" x14ac:dyDescent="0.35">
      <c r="A48" s="226">
        <f t="shared" si="5"/>
        <v>45791</v>
      </c>
      <c r="B48" s="227">
        <f>YEAR(Daily_KPI[[#This Row],[Date]])+IF(MONTH(Daily_KPI[[#This Row],[Date]])&gt;=4,1,0)</f>
        <v>2026</v>
      </c>
      <c r="C48" s="6">
        <f>YEAR(Daily_KPI[[#This Row],[Date]])</f>
        <v>2025</v>
      </c>
      <c r="D48" s="228">
        <f>Daily_KPI[[#This Row],[Date]]-DAY(Daily_KPI[[#This Row],[Date]])+1</f>
        <v>45778</v>
      </c>
      <c r="E48" s="6">
        <f t="shared" si="0"/>
        <v>31</v>
      </c>
      <c r="F48" s="229">
        <f>IFERROR(_xlfn.XLOOKUP($A48,'Raw Data'!$A:$A,'Raw Data'!$BR:$BR),"")</f>
        <v>11.966666666666669</v>
      </c>
      <c r="G48" s="230">
        <f>IFERROR(_xlfn.XLOOKUP($A48,'Raw Data'!$A:$A,'Raw Data'!$AO:$AO),"")</f>
        <v>0</v>
      </c>
      <c r="H48" s="230"/>
      <c r="I48" s="230">
        <f>IFERROR(_xlfn.XLOOKUP($A48,'Raw Data'!$A:$A,'Raw Data'!$AR:$AR),"")</f>
        <v>4.1340076194398687</v>
      </c>
      <c r="J48" s="230"/>
      <c r="K48" s="230">
        <f>IFERROR(_xlfn.XLOOKUP($A48,'Raw Data'!$A:$A,'Raw Data'!$AV:$AV),"")</f>
        <v>0</v>
      </c>
      <c r="L48" s="230">
        <f>IFERROR(_xlfn.XLOOKUP($A48,'Raw Data'!$A:$A,'Raw Data'!$AW:$AW),"")</f>
        <v>0</v>
      </c>
      <c r="M48" s="230">
        <f>IFERROR(_xlfn.XLOOKUP($A48,'Raw Data'!$A:$A,'Raw Data'!$AX:$AX),"")</f>
        <v>0</v>
      </c>
      <c r="N48" s="230">
        <f>IFERROR(_xlfn.XLOOKUP($A48,'Raw Data'!$A:$A,'Raw Data'!$AY:$AY),"")</f>
        <v>0</v>
      </c>
      <c r="O48" s="231">
        <f>IFERROR(1-(SUMIF('Plant BD'!$B:$B,A48,'Plant BD'!$AE:$AE)/(AA48+SUMIF('Plant BD'!$B:$B,A48,'Plant BD'!$AE:$AE))),"")</f>
        <v>0.99861798931201351</v>
      </c>
      <c r="P48" s="231"/>
      <c r="Q48" s="232"/>
      <c r="R48" s="231">
        <f>IFERROR(1-(SUMIF('Grid BD'!$B:$B,$A48,'Grid BD'!$AD:$AD)/($AA48+SUMIF('Grid BD'!$B:$B,$A48,'Grid BD'!AD:AD))),"")</f>
        <v>1</v>
      </c>
      <c r="S48" s="6"/>
      <c r="T48" s="232"/>
      <c r="U48" s="233">
        <f t="shared" si="4"/>
        <v>0.72500377809728933</v>
      </c>
      <c r="V48" s="233"/>
      <c r="W48" s="234">
        <f t="shared" si="6"/>
        <v>0.1248821309490369</v>
      </c>
      <c r="X48" s="227">
        <f>IFERROR(_xlfn.XLOOKUP($A48,'Raw Data'!$A:$A,'Raw Data'!$BA:$BA),"")</f>
        <v>77760</v>
      </c>
      <c r="Y48" s="227">
        <f>IFERROR(_xlfn.XLOOKUP($A48,'Raw Data'!$A:$A,'Raw Data'!BJ:BJ),"")</f>
        <v>73777.400000020862</v>
      </c>
      <c r="Z48" s="227">
        <f>IFERROR(_xlfn.XLOOKUP($A48,'Raw Data'!$A:$A,'Raw Data'!BK:BK),"")</f>
        <v>936.84999999993579</v>
      </c>
      <c r="AA48" s="227">
        <f>IFERROR(_xlfn.XLOOKUP($A48,'Raw Data'!$A:$A,'Raw Data'!BL:BL),"")</f>
        <v>72840.550000020929</v>
      </c>
      <c r="AB48" s="227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27">
        <f>IFERROR(_xlfn.XLOOKUP($D48,'Modelling New'!$D:$D,'Modelling New'!$T:$T)*1000,"")</f>
        <v>119905.71730852894</v>
      </c>
      <c r="AE48" s="234">
        <f>IFERROR(_xlfn.XLOOKUP($D48,'Modelling New'!$D:$D,'Modelling New'!$O:$O),"")</f>
        <v>0.75566516656343796</v>
      </c>
      <c r="AF48" s="234">
        <f>IFERROR(_xlfn.XLOOKUP($D48,'Modelling New'!$D:$D,'Modelling New'!$W:$W),"")</f>
        <v>0.20557342703284925</v>
      </c>
      <c r="AG48" s="234">
        <f>IFERROR(_xlfn.XLOOKUP($D48,'Modelling New'!$D:$D,'Modelling New'!AE:AE),"")</f>
        <v>0.995</v>
      </c>
      <c r="AH48" s="234">
        <v>0.99750000000000005</v>
      </c>
      <c r="AI48" s="6"/>
      <c r="AJ48" s="6"/>
      <c r="AK48" s="6"/>
      <c r="AL48" s="6"/>
      <c r="AM48" s="6"/>
      <c r="AN48" s="231"/>
      <c r="AO48" s="234"/>
      <c r="AP48" s="234"/>
      <c r="AQ48" s="234"/>
      <c r="AR48" s="227">
        <f>IFERROR(_xlfn.XLOOKUP($D48,'Modelling New'!$D:$D,'Modelling New'!$N:$N),"")</f>
        <v>24.303100000000001</v>
      </c>
      <c r="AS48" s="227"/>
    </row>
    <row r="49" spans="1:45" x14ac:dyDescent="0.35">
      <c r="A49" s="226">
        <f t="shared" si="5"/>
        <v>45792</v>
      </c>
      <c r="B49" s="227">
        <f>YEAR(Daily_KPI[[#This Row],[Date]])+IF(MONTH(Daily_KPI[[#This Row],[Date]])&gt;=4,1,0)</f>
        <v>2026</v>
      </c>
      <c r="C49" s="6">
        <f>YEAR(Daily_KPI[[#This Row],[Date]])</f>
        <v>2025</v>
      </c>
      <c r="D49" s="228">
        <f>Daily_KPI[[#This Row],[Date]]-DAY(Daily_KPI[[#This Row],[Date]])+1</f>
        <v>45778</v>
      </c>
      <c r="E49" s="6">
        <f t="shared" si="0"/>
        <v>31</v>
      </c>
      <c r="F49" s="229">
        <f>IFERROR(_xlfn.XLOOKUP($A49,'Raw Data'!$A:$A,'Raw Data'!$BR:$BR),"")</f>
        <v>11.866666666666665</v>
      </c>
      <c r="G49" s="230">
        <f>IFERROR(_xlfn.XLOOKUP($A49,'Raw Data'!$A:$A,'Raw Data'!$AO:$AO),"")</f>
        <v>0</v>
      </c>
      <c r="H49" s="230"/>
      <c r="I49" s="230">
        <f>IFERROR(_xlfn.XLOOKUP($A49,'Raw Data'!$A:$A,'Raw Data'!$AR:$AR),"")</f>
        <v>2.950250164744646</v>
      </c>
      <c r="J49" s="230"/>
      <c r="K49" s="230">
        <f>IFERROR(_xlfn.XLOOKUP($A49,'Raw Data'!$A:$A,'Raw Data'!$AV:$AV),"")</f>
        <v>0</v>
      </c>
      <c r="L49" s="230">
        <f>IFERROR(_xlfn.XLOOKUP($A49,'Raw Data'!$A:$A,'Raw Data'!$AW:$AW),"")</f>
        <v>0</v>
      </c>
      <c r="M49" s="230">
        <f>IFERROR(_xlfn.XLOOKUP($A49,'Raw Data'!$A:$A,'Raw Data'!$AX:$AX),"")</f>
        <v>0</v>
      </c>
      <c r="N49" s="230">
        <f>IFERROR(_xlfn.XLOOKUP($A49,'Raw Data'!$A:$A,'Raw Data'!$AY:$AY),"")</f>
        <v>0</v>
      </c>
      <c r="O49" s="231">
        <f>IFERROR(1-(SUMIF('Plant BD'!$B:$B,A49,'Plant BD'!$AE:$AE)/(AA49+SUMIF('Plant BD'!$B:$B,A49,'Plant BD'!$AE:$AE))),"")</f>
        <v>1</v>
      </c>
      <c r="P49" s="231"/>
      <c r="Q49" s="232"/>
      <c r="R49" s="231">
        <f>IFERROR(1-(SUMIF('Grid BD'!$B:$B,$A49,'Grid BD'!$AD:$AD)/($AA49+SUMIF('Grid BD'!$B:$B,$A49,'Grid BD'!AD:AD))),"")</f>
        <v>1</v>
      </c>
      <c r="S49" s="6"/>
      <c r="T49" s="232"/>
      <c r="U49" s="233">
        <f t="shared" si="4"/>
        <v>0.78602542982059864</v>
      </c>
      <c r="V49" s="233"/>
      <c r="W49" s="234">
        <f t="shared" si="6"/>
        <v>9.6623818909237588E-2</v>
      </c>
      <c r="X49" s="227">
        <f>IFERROR(_xlfn.XLOOKUP($A49,'Raw Data'!$A:$A,'Raw Data'!$BA:$BA),"")</f>
        <v>57323</v>
      </c>
      <c r="Y49" s="227">
        <f>IFERROR(_xlfn.XLOOKUP($A49,'Raw Data'!$A:$A,'Raw Data'!BJ:BJ),"")</f>
        <v>57520.099999994272</v>
      </c>
      <c r="Z49" s="227">
        <f>IFERROR(_xlfn.XLOOKUP($A49,'Raw Data'!$A:$A,'Raw Data'!BK:BK),"")</f>
        <v>1161.9000000000597</v>
      </c>
      <c r="AA49" s="227">
        <f>IFERROR(_xlfn.XLOOKUP($A49,'Raw Data'!$A:$A,'Raw Data'!BL:BL),"")</f>
        <v>56358.199999994213</v>
      </c>
      <c r="AB49" s="227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27">
        <f>IFERROR(_xlfn.XLOOKUP($D49,'Modelling New'!$D:$D,'Modelling New'!$T:$T)*1000,"")</f>
        <v>119905.71730852894</v>
      </c>
      <c r="AE49" s="234">
        <f>IFERROR(_xlfn.XLOOKUP($D49,'Modelling New'!$D:$D,'Modelling New'!$O:$O),"")</f>
        <v>0.75566516656343796</v>
      </c>
      <c r="AF49" s="234">
        <f>IFERROR(_xlfn.XLOOKUP($D49,'Modelling New'!$D:$D,'Modelling New'!$W:$W),"")</f>
        <v>0.20557342703284925</v>
      </c>
      <c r="AG49" s="234">
        <f>IFERROR(_xlfn.XLOOKUP($D49,'Modelling New'!$D:$D,'Modelling New'!AE:AE),"")</f>
        <v>0.995</v>
      </c>
      <c r="AH49" s="234">
        <v>0.99750000000000005</v>
      </c>
      <c r="AI49" s="6"/>
      <c r="AJ49" s="6"/>
      <c r="AK49" s="6"/>
      <c r="AL49" s="6"/>
      <c r="AM49" s="6"/>
      <c r="AN49" s="231"/>
      <c r="AO49" s="234"/>
      <c r="AP49" s="234"/>
      <c r="AQ49" s="234"/>
      <c r="AR49" s="227">
        <f>IFERROR(_xlfn.XLOOKUP($D49,'Modelling New'!$D:$D,'Modelling New'!$N:$N),"")</f>
        <v>24.303100000000001</v>
      </c>
      <c r="AS49" s="227"/>
    </row>
    <row r="50" spans="1:45" x14ac:dyDescent="0.35">
      <c r="A50" s="226">
        <f t="shared" si="5"/>
        <v>45793</v>
      </c>
      <c r="B50" s="227">
        <f>YEAR(Daily_KPI[[#This Row],[Date]])+IF(MONTH(Daily_KPI[[#This Row],[Date]])&gt;=4,1,0)</f>
        <v>2026</v>
      </c>
      <c r="C50" s="6">
        <f>YEAR(Daily_KPI[[#This Row],[Date]])</f>
        <v>2025</v>
      </c>
      <c r="D50" s="228">
        <f>Daily_KPI[[#This Row],[Date]]-DAY(Daily_KPI[[#This Row],[Date]])+1</f>
        <v>45778</v>
      </c>
      <c r="E50" s="6">
        <f t="shared" si="0"/>
        <v>31</v>
      </c>
      <c r="F50" s="229">
        <f>IFERROR(_xlfn.XLOOKUP($A50,'Raw Data'!$A:$A,'Raw Data'!$BR:$BR),"")</f>
        <v>12.183333333333335</v>
      </c>
      <c r="G50" s="230">
        <f>IFERROR(_xlfn.XLOOKUP($A50,'Raw Data'!$A:$A,'Raw Data'!$AO:$AO),"")</f>
        <v>0</v>
      </c>
      <c r="H50" s="230"/>
      <c r="I50" s="230">
        <f>IFERROR(_xlfn.XLOOKUP($A50,'Raw Data'!$A:$A,'Raw Data'!$AR:$AR),"")</f>
        <v>5.1041757001647436</v>
      </c>
      <c r="J50" s="230"/>
      <c r="K50" s="230">
        <f>IFERROR(_xlfn.XLOOKUP($A50,'Raw Data'!$A:$A,'Raw Data'!$AV:$AV),"")</f>
        <v>0</v>
      </c>
      <c r="L50" s="230">
        <f>IFERROR(_xlfn.XLOOKUP($A50,'Raw Data'!$A:$A,'Raw Data'!$AW:$AW),"")</f>
        <v>0</v>
      </c>
      <c r="M50" s="230">
        <f>IFERROR(_xlfn.XLOOKUP($A50,'Raw Data'!$A:$A,'Raw Data'!$AX:$AX),"")</f>
        <v>0</v>
      </c>
      <c r="N50" s="230">
        <f>IFERROR(_xlfn.XLOOKUP($A50,'Raw Data'!$A:$A,'Raw Data'!$AY:$AY),"")</f>
        <v>0</v>
      </c>
      <c r="O50" s="231">
        <f>IFERROR(1-(SUMIF('Plant BD'!$B:$B,A50,'Plant BD'!$AE:$AE)/(AA50+SUMIF('Plant BD'!$B:$B,A50,'Plant BD'!$AE:$AE))),"")</f>
        <v>1</v>
      </c>
      <c r="P50" s="231"/>
      <c r="Q50" s="232"/>
      <c r="R50" s="231">
        <f>IFERROR(1-(SUMIF('Grid BD'!$B:$B,$A50,'Grid BD'!$AD:$AD)/($AA50+SUMIF('Grid BD'!$B:$B,$A50,'Grid BD'!AD:AD))),"")</f>
        <v>1</v>
      </c>
      <c r="S50" s="6"/>
      <c r="T50" s="232"/>
      <c r="U50" s="233">
        <f t="shared" si="4"/>
        <v>0.80946200444838545</v>
      </c>
      <c r="V50" s="233"/>
      <c r="W50" s="234">
        <f t="shared" si="6"/>
        <v>0.17215151222133726</v>
      </c>
      <c r="X50" s="227">
        <f>IFERROR(_xlfn.XLOOKUP($A50,'Raw Data'!$A:$A,'Raw Data'!$BA:$BA),"")</f>
        <v>101460</v>
      </c>
      <c r="Y50" s="227">
        <f>IFERROR(_xlfn.XLOOKUP($A50,'Raw Data'!$A:$A,'Raw Data'!BJ:BJ),"")</f>
        <v>100809.16999999317</v>
      </c>
      <c r="Z50" s="227">
        <f>IFERROR(_xlfn.XLOOKUP($A50,'Raw Data'!$A:$A,'Raw Data'!BK:BK),"")</f>
        <v>397.60000000001128</v>
      </c>
      <c r="AA50" s="227">
        <f>IFERROR(_xlfn.XLOOKUP($A50,'Raw Data'!$A:$A,'Raw Data'!BL:BL),"")</f>
        <v>100411.56999999317</v>
      </c>
      <c r="AB50" s="227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27">
        <f>IFERROR(_xlfn.XLOOKUP($D50,'Modelling New'!$D:$D,'Modelling New'!$T:$T)*1000,"")</f>
        <v>119905.71730852894</v>
      </c>
      <c r="AE50" s="234">
        <f>IFERROR(_xlfn.XLOOKUP($D50,'Modelling New'!$D:$D,'Modelling New'!$O:$O),"")</f>
        <v>0.75566516656343796</v>
      </c>
      <c r="AF50" s="234">
        <f>IFERROR(_xlfn.XLOOKUP($D50,'Modelling New'!$D:$D,'Modelling New'!$W:$W),"")</f>
        <v>0.20557342703284925</v>
      </c>
      <c r="AG50" s="234">
        <f>IFERROR(_xlfn.XLOOKUP($D50,'Modelling New'!$D:$D,'Modelling New'!AE:AE),"")</f>
        <v>0.995</v>
      </c>
      <c r="AH50" s="234">
        <v>0.99750000000000005</v>
      </c>
      <c r="AI50" s="6"/>
      <c r="AJ50" s="6"/>
      <c r="AK50" s="6"/>
      <c r="AL50" s="6"/>
      <c r="AM50" s="6"/>
      <c r="AN50" s="231"/>
      <c r="AO50" s="234"/>
      <c r="AP50" s="234"/>
      <c r="AQ50" s="234"/>
      <c r="AR50" s="227">
        <f>IFERROR(_xlfn.XLOOKUP($D50,'Modelling New'!$D:$D,'Modelling New'!$N:$N),"")</f>
        <v>24.303100000000001</v>
      </c>
      <c r="AS50" s="227"/>
    </row>
    <row r="51" spans="1:45" x14ac:dyDescent="0.35">
      <c r="A51" s="226">
        <f t="shared" si="5"/>
        <v>45794</v>
      </c>
      <c r="B51" s="227">
        <f>YEAR(Daily_KPI[[#This Row],[Date]])+IF(MONTH(Daily_KPI[[#This Row],[Date]])&gt;=4,1,0)</f>
        <v>2026</v>
      </c>
      <c r="C51" s="6">
        <f>YEAR(Daily_KPI[[#This Row],[Date]])</f>
        <v>2025</v>
      </c>
      <c r="D51" s="228">
        <f>Daily_KPI[[#This Row],[Date]]-DAY(Daily_KPI[[#This Row],[Date]])+1</f>
        <v>45778</v>
      </c>
      <c r="E51" s="6">
        <f t="shared" si="0"/>
        <v>31</v>
      </c>
      <c r="F51" s="229">
        <f>IFERROR(_xlfn.XLOOKUP($A51,'Raw Data'!$A:$A,'Raw Data'!$BR:$BR),"")</f>
        <v>12.066666666666666</v>
      </c>
      <c r="G51" s="230">
        <f>IFERROR(_xlfn.XLOOKUP($A51,'Raw Data'!$A:$A,'Raw Data'!$AO:$AO),"")</f>
        <v>0</v>
      </c>
      <c r="H51" s="230"/>
      <c r="I51" s="230">
        <f>IFERROR(_xlfn.XLOOKUP($A51,'Raw Data'!$A:$A,'Raw Data'!$AR:$AR),"")</f>
        <v>5.9176464168039535</v>
      </c>
      <c r="J51" s="230"/>
      <c r="K51" s="230">
        <f>IFERROR(_xlfn.XLOOKUP($A51,'Raw Data'!$A:$A,'Raw Data'!$AV:$AV),"")</f>
        <v>0</v>
      </c>
      <c r="L51" s="230">
        <f>IFERROR(_xlfn.XLOOKUP($A51,'Raw Data'!$A:$A,'Raw Data'!$AW:$AW),"")</f>
        <v>0</v>
      </c>
      <c r="M51" s="230">
        <f>IFERROR(_xlfn.XLOOKUP($A51,'Raw Data'!$A:$A,'Raw Data'!$AX:$AX),"")</f>
        <v>0</v>
      </c>
      <c r="N51" s="230">
        <f>IFERROR(_xlfn.XLOOKUP($A51,'Raw Data'!$A:$A,'Raw Data'!$AY:$AY),"")</f>
        <v>0</v>
      </c>
      <c r="O51" s="231">
        <f>IFERROR(1-(SUMIF('Plant BD'!$B:$B,A51,'Plant BD'!$AE:$AE)/(AA51+SUMIF('Plant BD'!$B:$B,A51,'Plant BD'!$AE:$AE))),"")</f>
        <v>1</v>
      </c>
      <c r="P51" s="231"/>
      <c r="Q51" s="232"/>
      <c r="R51" s="231">
        <f>IFERROR(1-(SUMIF('Grid BD'!$B:$B,$A51,'Grid BD'!$AD:$AD)/($AA51+SUMIF('Grid BD'!$B:$B,$A51,'Grid BD'!AD:AD))),"")</f>
        <v>0.60699718358808696</v>
      </c>
      <c r="S51" s="6"/>
      <c r="T51" s="232"/>
      <c r="U51" s="233">
        <f t="shared" si="4"/>
        <v>0.39104403731190818</v>
      </c>
      <c r="V51" s="233"/>
      <c r="W51" s="234">
        <f t="shared" si="6"/>
        <v>9.6419181092140191E-2</v>
      </c>
      <c r="X51" s="227">
        <f>IFERROR(_xlfn.XLOOKUP($A51,'Raw Data'!$A:$A,'Raw Data'!$BA:$BA),"")</f>
        <v>57391</v>
      </c>
      <c r="Y51" s="227">
        <f>IFERROR(_xlfn.XLOOKUP($A51,'Raw Data'!$A:$A,'Raw Data'!BJ:BJ),"")</f>
        <v>57249.340000009397</v>
      </c>
      <c r="Z51" s="227">
        <f>IFERROR(_xlfn.XLOOKUP($A51,'Raw Data'!$A:$A,'Raw Data'!BK:BK),"")</f>
        <v>1010.4999999999791</v>
      </c>
      <c r="AA51" s="227">
        <f>IFERROR(_xlfn.XLOOKUP($A51,'Raw Data'!$A:$A,'Raw Data'!BL:BL),"")</f>
        <v>56238.840000009419</v>
      </c>
      <c r="AB51" s="227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27">
        <f>IFERROR(_xlfn.XLOOKUP($D51,'Modelling New'!$D:$D,'Modelling New'!$T:$T)*1000,"")</f>
        <v>119905.71730852894</v>
      </c>
      <c r="AE51" s="234">
        <f>IFERROR(_xlfn.XLOOKUP($D51,'Modelling New'!$D:$D,'Modelling New'!$O:$O),"")</f>
        <v>0.75566516656343796</v>
      </c>
      <c r="AF51" s="234">
        <f>IFERROR(_xlfn.XLOOKUP($D51,'Modelling New'!$D:$D,'Modelling New'!$W:$W),"")</f>
        <v>0.20557342703284925</v>
      </c>
      <c r="AG51" s="234">
        <f>IFERROR(_xlfn.XLOOKUP($D51,'Modelling New'!$D:$D,'Modelling New'!AE:AE),"")</f>
        <v>0.995</v>
      </c>
      <c r="AH51" s="234">
        <v>0.99750000000000005</v>
      </c>
      <c r="AI51" s="6"/>
      <c r="AJ51" s="6"/>
      <c r="AK51" s="6"/>
      <c r="AL51" s="6"/>
      <c r="AM51" s="6"/>
      <c r="AN51" s="231"/>
      <c r="AO51" s="234"/>
      <c r="AP51" s="234"/>
      <c r="AQ51" s="234"/>
      <c r="AR51" s="227">
        <f>IFERROR(_xlfn.XLOOKUP($D51,'Modelling New'!$D:$D,'Modelling New'!$N:$N),"")</f>
        <v>24.303100000000001</v>
      </c>
      <c r="AS51" s="227"/>
    </row>
    <row r="52" spans="1:45" x14ac:dyDescent="0.35">
      <c r="A52" s="226">
        <f t="shared" si="5"/>
        <v>45795</v>
      </c>
      <c r="B52" s="227">
        <f>YEAR(Daily_KPI[[#This Row],[Date]])+IF(MONTH(Daily_KPI[[#This Row],[Date]])&gt;=4,1,0)</f>
        <v>2026</v>
      </c>
      <c r="C52" s="6">
        <f>YEAR(Daily_KPI[[#This Row],[Date]])</f>
        <v>2025</v>
      </c>
      <c r="D52" s="228">
        <f>Daily_KPI[[#This Row],[Date]]-DAY(Daily_KPI[[#This Row],[Date]])+1</f>
        <v>45778</v>
      </c>
      <c r="E52" s="6">
        <f t="shared" si="0"/>
        <v>31</v>
      </c>
      <c r="F52" s="229">
        <f>IFERROR(_xlfn.XLOOKUP($A52,'Raw Data'!$A:$A,'Raw Data'!$BR:$BR),"")</f>
        <v>12.350000000000001</v>
      </c>
      <c r="G52" s="230">
        <f>IFERROR(_xlfn.XLOOKUP($A52,'Raw Data'!$A:$A,'Raw Data'!$AO:$AO),"")</f>
        <v>0</v>
      </c>
      <c r="H52" s="230"/>
      <c r="I52" s="230">
        <f>IFERROR(_xlfn.XLOOKUP($A52,'Raw Data'!$A:$A,'Raw Data'!$AR:$AR),"")</f>
        <v>4.0948038303130145</v>
      </c>
      <c r="J52" s="230"/>
      <c r="K52" s="230">
        <f>IFERROR(_xlfn.XLOOKUP($A52,'Raw Data'!$A:$A,'Raw Data'!$AV:$AV),"")</f>
        <v>0</v>
      </c>
      <c r="L52" s="230">
        <f>IFERROR(_xlfn.XLOOKUP($A52,'Raw Data'!$A:$A,'Raw Data'!$AW:$AW),"")</f>
        <v>0</v>
      </c>
      <c r="M52" s="230">
        <f>IFERROR(_xlfn.XLOOKUP($A52,'Raw Data'!$A:$A,'Raw Data'!$AX:$AX),"")</f>
        <v>0</v>
      </c>
      <c r="N52" s="230">
        <f>IFERROR(_xlfn.XLOOKUP($A52,'Raw Data'!$A:$A,'Raw Data'!$AY:$AY),"")</f>
        <v>0</v>
      </c>
      <c r="O52" s="231">
        <f>IFERROR(1-(SUMIF('Plant BD'!$B:$B,A52,'Plant BD'!$AE:$AE)/(AA52+SUMIF('Plant BD'!$B:$B,A52,'Plant BD'!$AE:$AE))),"")</f>
        <v>1</v>
      </c>
      <c r="P52" s="231"/>
      <c r="Q52" s="232"/>
      <c r="R52" s="231">
        <f>IFERROR(1-(SUMIF('Grid BD'!$B:$B,$A52,'Grid BD'!$AD:$AD)/($AA52+SUMIF('Grid BD'!$B:$B,$A52,'Grid BD'!AD:AD))),"")</f>
        <v>1</v>
      </c>
      <c r="S52" s="6"/>
      <c r="T52" s="232"/>
      <c r="U52" s="233">
        <f t="shared" si="4"/>
        <v>0.79973419890966868</v>
      </c>
      <c r="V52" s="233"/>
      <c r="W52" s="234">
        <f t="shared" si="6"/>
        <v>0.13644811087198422</v>
      </c>
      <c r="X52" s="227">
        <f>IFERROR(_xlfn.XLOOKUP($A52,'Raw Data'!$A:$A,'Raw Data'!$BA:$BA),"")</f>
        <v>80550</v>
      </c>
      <c r="Y52" s="227">
        <f>IFERROR(_xlfn.XLOOKUP($A52,'Raw Data'!$A:$A,'Raw Data'!BJ:BJ),"")</f>
        <v>80391.089999990072</v>
      </c>
      <c r="Z52" s="227">
        <f>IFERROR(_xlfn.XLOOKUP($A52,'Raw Data'!$A:$A,'Raw Data'!BK:BK),"")</f>
        <v>804.3999999999869</v>
      </c>
      <c r="AA52" s="227">
        <f>IFERROR(_xlfn.XLOOKUP($A52,'Raw Data'!$A:$A,'Raw Data'!BL:BL),"")</f>
        <v>79586.689999990078</v>
      </c>
      <c r="AB52" s="227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27">
        <f>IFERROR(_xlfn.XLOOKUP($D52,'Modelling New'!$D:$D,'Modelling New'!$T:$T)*1000,"")</f>
        <v>119905.71730852894</v>
      </c>
      <c r="AE52" s="234">
        <f>IFERROR(_xlfn.XLOOKUP($D52,'Modelling New'!$D:$D,'Modelling New'!$O:$O),"")</f>
        <v>0.75566516656343796</v>
      </c>
      <c r="AF52" s="234">
        <f>IFERROR(_xlfn.XLOOKUP($D52,'Modelling New'!$D:$D,'Modelling New'!$W:$W),"")</f>
        <v>0.20557342703284925</v>
      </c>
      <c r="AG52" s="234">
        <f>IFERROR(_xlfn.XLOOKUP($D52,'Modelling New'!$D:$D,'Modelling New'!AE:AE),"")</f>
        <v>0.995</v>
      </c>
      <c r="AH52" s="234">
        <v>0.99750000000000005</v>
      </c>
      <c r="AI52" s="6"/>
      <c r="AJ52" s="6"/>
      <c r="AK52" s="6"/>
      <c r="AL52" s="6"/>
      <c r="AM52" s="6"/>
      <c r="AN52" s="231"/>
      <c r="AO52" s="234"/>
      <c r="AP52" s="234"/>
      <c r="AQ52" s="234"/>
      <c r="AR52" s="227">
        <f>IFERROR(_xlfn.XLOOKUP($D52,'Modelling New'!$D:$D,'Modelling New'!$N:$N),"")</f>
        <v>24.303100000000001</v>
      </c>
      <c r="AS52" s="227"/>
    </row>
    <row r="53" spans="1:45" x14ac:dyDescent="0.35">
      <c r="A53" s="226">
        <f t="shared" si="5"/>
        <v>45796</v>
      </c>
      <c r="B53" s="227">
        <f>YEAR(Daily_KPI[[#This Row],[Date]])+IF(MONTH(Daily_KPI[[#This Row],[Date]])&gt;=4,1,0)</f>
        <v>2026</v>
      </c>
      <c r="C53" s="6">
        <f>YEAR(Daily_KPI[[#This Row],[Date]])</f>
        <v>2025</v>
      </c>
      <c r="D53" s="228">
        <f>Daily_KPI[[#This Row],[Date]]-DAY(Daily_KPI[[#This Row],[Date]])+1</f>
        <v>45778</v>
      </c>
      <c r="E53" s="6">
        <f t="shared" ref="E53:E116" si="7">DAY(EOMONTH(A53,0))</f>
        <v>31</v>
      </c>
      <c r="F53" s="229">
        <f>IFERROR(_xlfn.XLOOKUP($A53,'Raw Data'!$A:$A,'Raw Data'!$BR:$BR),"")</f>
        <v>11.966666666666669</v>
      </c>
      <c r="G53" s="230">
        <f>IFERROR(_xlfn.XLOOKUP($A53,'Raw Data'!$A:$A,'Raw Data'!$AO:$AO),"")</f>
        <v>0</v>
      </c>
      <c r="H53" s="230"/>
      <c r="I53" s="230">
        <f>IFERROR(_xlfn.XLOOKUP($A53,'Raw Data'!$A:$A,'Raw Data'!$AR:$AR),"")</f>
        <v>5.5233331136738055</v>
      </c>
      <c r="J53" s="230"/>
      <c r="K53" s="230">
        <f>IFERROR(_xlfn.XLOOKUP($A53,'Raw Data'!$A:$A,'Raw Data'!$AV:$AV),"")</f>
        <v>0</v>
      </c>
      <c r="L53" s="230">
        <f>IFERROR(_xlfn.XLOOKUP($A53,'Raw Data'!$A:$A,'Raw Data'!$AW:$AW),"")</f>
        <v>0</v>
      </c>
      <c r="M53" s="230">
        <f>IFERROR(_xlfn.XLOOKUP($A53,'Raw Data'!$A:$A,'Raw Data'!$AX:$AX),"")</f>
        <v>0</v>
      </c>
      <c r="N53" s="230">
        <f>IFERROR(_xlfn.XLOOKUP($A53,'Raw Data'!$A:$A,'Raw Data'!$AY:$AY),"")</f>
        <v>0</v>
      </c>
      <c r="O53" s="231">
        <f>IFERROR(1-(SUMIF('Plant BD'!$B:$B,A53,'Plant BD'!$AE:$AE)/(AA53+SUMIF('Plant BD'!$B:$B,A53,'Plant BD'!$AE:$AE))),"")</f>
        <v>1</v>
      </c>
      <c r="P53" s="231"/>
      <c r="Q53" s="232"/>
      <c r="R53" s="231">
        <f>IFERROR(1-(SUMIF('Grid BD'!$B:$B,$A53,'Grid BD'!$AD:$AD)/($AA53+SUMIF('Grid BD'!$B:$B,$A53,'Grid BD'!AD:AD))),"")</f>
        <v>1</v>
      </c>
      <c r="S53" s="6"/>
      <c r="T53" s="232"/>
      <c r="U53" s="233">
        <f t="shared" si="4"/>
        <v>0.79688012552016441</v>
      </c>
      <c r="V53" s="233"/>
      <c r="W53" s="234">
        <f t="shared" si="6"/>
        <v>0.18339309937141926</v>
      </c>
      <c r="X53" s="227">
        <f>IFERROR(_xlfn.XLOOKUP($A53,'Raw Data'!$A:$A,'Raw Data'!$BA:$BA),"")</f>
        <v>108689</v>
      </c>
      <c r="Y53" s="227">
        <f>IFERROR(_xlfn.XLOOKUP($A53,'Raw Data'!$A:$A,'Raw Data'!BJ:BJ),"")</f>
        <v>107894.10000000498</v>
      </c>
      <c r="Z53" s="227">
        <f>IFERROR(_xlfn.XLOOKUP($A53,'Raw Data'!$A:$A,'Raw Data'!BK:BK),"")</f>
        <v>925.60000000003129</v>
      </c>
      <c r="AA53" s="227">
        <f>IFERROR(_xlfn.XLOOKUP($A53,'Raw Data'!$A:$A,'Raw Data'!BL:BL),"")</f>
        <v>106968.50000000495</v>
      </c>
      <c r="AB53" s="227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27">
        <f>IFERROR(_xlfn.XLOOKUP($D53,'Modelling New'!$D:$D,'Modelling New'!$T:$T)*1000,"")</f>
        <v>119905.71730852894</v>
      </c>
      <c r="AE53" s="234">
        <f>IFERROR(_xlfn.XLOOKUP($D53,'Modelling New'!$D:$D,'Modelling New'!$O:$O),"")</f>
        <v>0.75566516656343796</v>
      </c>
      <c r="AF53" s="234">
        <f>IFERROR(_xlfn.XLOOKUP($D53,'Modelling New'!$D:$D,'Modelling New'!$W:$W),"")</f>
        <v>0.20557342703284925</v>
      </c>
      <c r="AG53" s="234">
        <f>IFERROR(_xlfn.XLOOKUP($D53,'Modelling New'!$D:$D,'Modelling New'!AE:AE),"")</f>
        <v>0.995</v>
      </c>
      <c r="AH53" s="234">
        <v>0.99750000000000005</v>
      </c>
      <c r="AI53" s="6"/>
      <c r="AJ53" s="6"/>
      <c r="AK53" s="6"/>
      <c r="AL53" s="6"/>
      <c r="AM53" s="6"/>
      <c r="AN53" s="231"/>
      <c r="AO53" s="234"/>
      <c r="AP53" s="234"/>
      <c r="AQ53" s="234"/>
      <c r="AR53" s="227">
        <f>IFERROR(_xlfn.XLOOKUP($D53,'Modelling New'!$D:$D,'Modelling New'!$N:$N),"")</f>
        <v>24.303100000000001</v>
      </c>
      <c r="AS53" s="227"/>
    </row>
    <row r="54" spans="1:45" x14ac:dyDescent="0.35">
      <c r="A54" s="226">
        <f t="shared" si="5"/>
        <v>45797</v>
      </c>
      <c r="B54" s="227">
        <f>YEAR(Daily_KPI[[#This Row],[Date]])+IF(MONTH(Daily_KPI[[#This Row],[Date]])&gt;=4,1,0)</f>
        <v>2026</v>
      </c>
      <c r="C54" s="6">
        <f>YEAR(Daily_KPI[[#This Row],[Date]])</f>
        <v>2025</v>
      </c>
      <c r="D54" s="228">
        <f>Daily_KPI[[#This Row],[Date]]-DAY(Daily_KPI[[#This Row],[Date]])+1</f>
        <v>45778</v>
      </c>
      <c r="E54" s="6">
        <f t="shared" si="7"/>
        <v>31</v>
      </c>
      <c r="F54" s="229">
        <f>IFERROR(_xlfn.XLOOKUP($A54,'Raw Data'!$A:$A,'Raw Data'!$BR:$BR),"")</f>
        <v>11.766666666666667</v>
      </c>
      <c r="G54" s="230">
        <f>IFERROR(_xlfn.XLOOKUP($A54,'Raw Data'!$A:$A,'Raw Data'!$AO:$AO),"")</f>
        <v>0</v>
      </c>
      <c r="H54" s="230"/>
      <c r="I54" s="230">
        <f>IFERROR(_xlfn.XLOOKUP($A54,'Raw Data'!$A:$A,'Raw Data'!$AR:$AR),"")</f>
        <v>5.3220045716639204</v>
      </c>
      <c r="J54" s="230"/>
      <c r="K54" s="230">
        <f>IFERROR(_xlfn.XLOOKUP($A54,'Raw Data'!$A:$A,'Raw Data'!$AV:$AV),"")</f>
        <v>0</v>
      </c>
      <c r="L54" s="230">
        <f>IFERROR(_xlfn.XLOOKUP($A54,'Raw Data'!$A:$A,'Raw Data'!$AW:$AW),"")</f>
        <v>0</v>
      </c>
      <c r="M54" s="230">
        <f>IFERROR(_xlfn.XLOOKUP($A54,'Raw Data'!$A:$A,'Raw Data'!$AX:$AX),"")</f>
        <v>0</v>
      </c>
      <c r="N54" s="230">
        <f>IFERROR(_xlfn.XLOOKUP($A54,'Raw Data'!$A:$A,'Raw Data'!$AY:$AY),"")</f>
        <v>0</v>
      </c>
      <c r="O54" s="231">
        <f>IFERROR(1-(SUMIF('Plant BD'!$B:$B,A54,'Plant BD'!$AE:$AE)/(AA54+SUMIF('Plant BD'!$B:$B,A54,'Plant BD'!$AE:$AE))),"")</f>
        <v>0.966229703119735</v>
      </c>
      <c r="P54" s="231"/>
      <c r="Q54" s="232"/>
      <c r="R54" s="231">
        <f>IFERROR(1-(SUMIF('Grid BD'!$B:$B,$A54,'Grid BD'!$AD:$AD)/($AA54+SUMIF('Grid BD'!$B:$B,$A54,'Grid BD'!AD:AD))),"")</f>
        <v>1</v>
      </c>
      <c r="S54" s="6"/>
      <c r="T54" s="232"/>
      <c r="U54" s="233">
        <f t="shared" si="4"/>
        <v>0.87866118316133601</v>
      </c>
      <c r="V54" s="233"/>
      <c r="W54" s="234">
        <f t="shared" si="6"/>
        <v>0.19484328473867746</v>
      </c>
      <c r="X54" s="227">
        <f>IFERROR(_xlfn.XLOOKUP($A54,'Raw Data'!$A:$A,'Raw Data'!$BA:$BA),"")</f>
        <v>115639</v>
      </c>
      <c r="Y54" s="227">
        <f>IFERROR(_xlfn.XLOOKUP($A54,'Raw Data'!$A:$A,'Raw Data'!BJ:BJ),"")</f>
        <v>114643.59999998123</v>
      </c>
      <c r="Z54" s="227">
        <f>IFERROR(_xlfn.XLOOKUP($A54,'Raw Data'!$A:$A,'Raw Data'!BK:BK),"")</f>
        <v>996.49999999996908</v>
      </c>
      <c r="AA54" s="227">
        <f>IFERROR(_xlfn.XLOOKUP($A54,'Raw Data'!$A:$A,'Raw Data'!BL:BL),"")</f>
        <v>113647.09999998126</v>
      </c>
      <c r="AB54" s="227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27">
        <f>IFERROR(_xlfn.XLOOKUP($D54,'Modelling New'!$D:$D,'Modelling New'!$T:$T)*1000,"")</f>
        <v>119905.71730852894</v>
      </c>
      <c r="AE54" s="234">
        <f>IFERROR(_xlfn.XLOOKUP($D54,'Modelling New'!$D:$D,'Modelling New'!$O:$O),"")</f>
        <v>0.75566516656343796</v>
      </c>
      <c r="AF54" s="234">
        <f>IFERROR(_xlfn.XLOOKUP($D54,'Modelling New'!$D:$D,'Modelling New'!$W:$W),"")</f>
        <v>0.20557342703284925</v>
      </c>
      <c r="AG54" s="234">
        <f>IFERROR(_xlfn.XLOOKUP($D54,'Modelling New'!$D:$D,'Modelling New'!AE:AE),"")</f>
        <v>0.995</v>
      </c>
      <c r="AH54" s="234">
        <v>0.99750000000000005</v>
      </c>
      <c r="AI54" s="6"/>
      <c r="AJ54" s="6"/>
      <c r="AK54" s="6"/>
      <c r="AL54" s="6"/>
      <c r="AM54" s="6"/>
      <c r="AN54" s="231"/>
      <c r="AO54" s="234"/>
      <c r="AP54" s="234"/>
      <c r="AQ54" s="234"/>
      <c r="AR54" s="227">
        <f>IFERROR(_xlfn.XLOOKUP($D54,'Modelling New'!$D:$D,'Modelling New'!$N:$N),"")</f>
        <v>24.303100000000001</v>
      </c>
      <c r="AS54" s="227"/>
    </row>
    <row r="55" spans="1:45" x14ac:dyDescent="0.35">
      <c r="A55" s="226">
        <f t="shared" si="5"/>
        <v>45798</v>
      </c>
      <c r="B55" s="227">
        <f>YEAR(Daily_KPI[[#This Row],[Date]])+IF(MONTH(Daily_KPI[[#This Row],[Date]])&gt;=4,1,0)</f>
        <v>2026</v>
      </c>
      <c r="C55" s="6">
        <f>YEAR(Daily_KPI[[#This Row],[Date]])</f>
        <v>2025</v>
      </c>
      <c r="D55" s="228">
        <f>Daily_KPI[[#This Row],[Date]]-DAY(Daily_KPI[[#This Row],[Date]])+1</f>
        <v>45778</v>
      </c>
      <c r="E55" s="6">
        <f t="shared" si="7"/>
        <v>31</v>
      </c>
      <c r="F55" s="229">
        <f>IFERROR(_xlfn.XLOOKUP($A55,'Raw Data'!$A:$A,'Raw Data'!$BR:$BR),"")</f>
        <v>12.450000000000001</v>
      </c>
      <c r="G55" s="230">
        <f>IFERROR(_xlfn.XLOOKUP($A55,'Raw Data'!$A:$A,'Raw Data'!$AO:$AO),"")</f>
        <v>0</v>
      </c>
      <c r="H55" s="230"/>
      <c r="I55" s="230">
        <f>IFERROR(_xlfn.XLOOKUP($A55,'Raw Data'!$A:$A,'Raw Data'!$AR:$AR),"")</f>
        <v>3.9326729818780888</v>
      </c>
      <c r="J55" s="230"/>
      <c r="K55" s="230">
        <f>IFERROR(_xlfn.XLOOKUP($A55,'Raw Data'!$A:$A,'Raw Data'!$AV:$AV),"")</f>
        <v>0</v>
      </c>
      <c r="L55" s="230">
        <f>IFERROR(_xlfn.XLOOKUP($A55,'Raw Data'!$A:$A,'Raw Data'!$AW:$AW),"")</f>
        <v>0</v>
      </c>
      <c r="M55" s="230">
        <f>IFERROR(_xlfn.XLOOKUP($A55,'Raw Data'!$A:$A,'Raw Data'!$AX:$AX),"")</f>
        <v>0</v>
      </c>
      <c r="N55" s="230">
        <f>IFERROR(_xlfn.XLOOKUP($A55,'Raw Data'!$A:$A,'Raw Data'!$AY:$AY),"")</f>
        <v>0</v>
      </c>
      <c r="O55" s="231">
        <f>IFERROR(1-(SUMIF('Plant BD'!$B:$B,A55,'Plant BD'!$AE:$AE)/(AA55+SUMIF('Plant BD'!$B:$B,A55,'Plant BD'!$AE:$AE))),"")</f>
        <v>0.95098175352254077</v>
      </c>
      <c r="P55" s="231"/>
      <c r="Q55" s="232"/>
      <c r="R55" s="231">
        <f>IFERROR(1-(SUMIF('Grid BD'!$B:$B,$A55,'Grid BD'!$AD:$AD)/($AA55+SUMIF('Grid BD'!$B:$B,$A55,'Grid BD'!AD:AD))),"")</f>
        <v>1</v>
      </c>
      <c r="S55" s="6"/>
      <c r="T55" s="232"/>
      <c r="U55" s="233">
        <f t="shared" si="4"/>
        <v>0.72333635326917656</v>
      </c>
      <c r="V55" s="233"/>
      <c r="W55" s="234">
        <f t="shared" si="6"/>
        <v>0.11852688888799648</v>
      </c>
      <c r="X55" s="227">
        <f>IFERROR(_xlfn.XLOOKUP($A55,'Raw Data'!$A:$A,'Raw Data'!$BA:$BA),"")</f>
        <v>70070</v>
      </c>
      <c r="Y55" s="227">
        <f>IFERROR(_xlfn.XLOOKUP($A55,'Raw Data'!$A:$A,'Raw Data'!BJ:BJ),"")</f>
        <v>70232.500000012806</v>
      </c>
      <c r="Z55" s="227">
        <f>IFERROR(_xlfn.XLOOKUP($A55,'Raw Data'!$A:$A,'Raw Data'!BK:BK),"")</f>
        <v>1098.7999999999829</v>
      </c>
      <c r="AA55" s="227">
        <f>IFERROR(_xlfn.XLOOKUP($A55,'Raw Data'!$A:$A,'Raw Data'!BL:BL),"")</f>
        <v>69133.700000012817</v>
      </c>
      <c r="AB55" s="227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27">
        <f>IFERROR(_xlfn.XLOOKUP($D55,'Modelling New'!$D:$D,'Modelling New'!$T:$T)*1000,"")</f>
        <v>119905.71730852894</v>
      </c>
      <c r="AE55" s="234">
        <f>IFERROR(_xlfn.XLOOKUP($D55,'Modelling New'!$D:$D,'Modelling New'!$O:$O),"")</f>
        <v>0.75566516656343796</v>
      </c>
      <c r="AF55" s="234">
        <f>IFERROR(_xlfn.XLOOKUP($D55,'Modelling New'!$D:$D,'Modelling New'!$W:$W),"")</f>
        <v>0.20557342703284925</v>
      </c>
      <c r="AG55" s="234">
        <f>IFERROR(_xlfn.XLOOKUP($D55,'Modelling New'!$D:$D,'Modelling New'!AE:AE),"")</f>
        <v>0.995</v>
      </c>
      <c r="AH55" s="234">
        <v>0.99750000000000005</v>
      </c>
      <c r="AI55" s="6"/>
      <c r="AJ55" s="6"/>
      <c r="AK55" s="6"/>
      <c r="AL55" s="6"/>
      <c r="AM55" s="6"/>
      <c r="AN55" s="231"/>
      <c r="AO55" s="234"/>
      <c r="AP55" s="234"/>
      <c r="AQ55" s="234"/>
      <c r="AR55" s="227">
        <f>IFERROR(_xlfn.XLOOKUP($D55,'Modelling New'!$D:$D,'Modelling New'!$N:$N),"")</f>
        <v>24.303100000000001</v>
      </c>
      <c r="AS55" s="227"/>
    </row>
    <row r="56" spans="1:45" x14ac:dyDescent="0.35">
      <c r="A56" s="226">
        <f t="shared" si="5"/>
        <v>45799</v>
      </c>
      <c r="B56" s="227">
        <f>YEAR(Daily_KPI[[#This Row],[Date]])+IF(MONTH(Daily_KPI[[#This Row],[Date]])&gt;=4,1,0)</f>
        <v>2026</v>
      </c>
      <c r="C56" s="6">
        <f>YEAR(Daily_KPI[[#This Row],[Date]])</f>
        <v>2025</v>
      </c>
      <c r="D56" s="228">
        <f>Daily_KPI[[#This Row],[Date]]-DAY(Daily_KPI[[#This Row],[Date]])+1</f>
        <v>45778</v>
      </c>
      <c r="E56" s="6">
        <f t="shared" si="7"/>
        <v>31</v>
      </c>
      <c r="F56" s="229">
        <f>IFERROR(_xlfn.XLOOKUP($A56,'Raw Data'!$A:$A,'Raw Data'!$BR:$BR),"")</f>
        <v>11.766666666666666</v>
      </c>
      <c r="G56" s="230">
        <f>IFERROR(_xlfn.XLOOKUP($A56,'Raw Data'!$A:$A,'Raw Data'!$AO:$AO),"")</f>
        <v>0</v>
      </c>
      <c r="H56" s="230"/>
      <c r="I56" s="230">
        <f>IFERROR(_xlfn.XLOOKUP($A56,'Raw Data'!$A:$A,'Raw Data'!$AR:$AR),"")</f>
        <v>4.1059923805601315</v>
      </c>
      <c r="J56" s="230"/>
      <c r="K56" s="230">
        <f>IFERROR(_xlfn.XLOOKUP($A56,'Raw Data'!$A:$A,'Raw Data'!$AV:$AV),"")</f>
        <v>0</v>
      </c>
      <c r="L56" s="230">
        <f>IFERROR(_xlfn.XLOOKUP($A56,'Raw Data'!$A:$A,'Raw Data'!$AW:$AW),"")</f>
        <v>0</v>
      </c>
      <c r="M56" s="230">
        <f>IFERROR(_xlfn.XLOOKUP($A56,'Raw Data'!$A:$A,'Raw Data'!$AX:$AX),"")</f>
        <v>0</v>
      </c>
      <c r="N56" s="230">
        <f>IFERROR(_xlfn.XLOOKUP($A56,'Raw Data'!$A:$A,'Raw Data'!$AY:$AY),"")</f>
        <v>0</v>
      </c>
      <c r="O56" s="231">
        <f>IFERROR(1-(SUMIF('Plant BD'!$B:$B,A56,'Plant BD'!$AE:$AE)/(AA56+SUMIF('Plant BD'!$B:$B,A56,'Plant BD'!$AE:$AE))),"")</f>
        <v>0.95026652861855632</v>
      </c>
      <c r="P56" s="231"/>
      <c r="Q56" s="232"/>
      <c r="R56" s="231">
        <f>IFERROR(1-(SUMIF('Grid BD'!$B:$B,$A56,'Grid BD'!$AD:$AD)/($AA56+SUMIF('Grid BD'!$B:$B,$A56,'Grid BD'!AD:AD))),"")</f>
        <v>1</v>
      </c>
      <c r="S56" s="6"/>
      <c r="T56" s="232"/>
      <c r="U56" s="233">
        <f t="shared" si="4"/>
        <v>0.71715891400202325</v>
      </c>
      <c r="V56" s="233"/>
      <c r="W56" s="234">
        <f t="shared" si="6"/>
        <v>0.12269370985596192</v>
      </c>
      <c r="X56" s="227">
        <f>IFERROR(_xlfn.XLOOKUP($A56,'Raw Data'!$A:$A,'Raw Data'!$BA:$BA),"")</f>
        <v>72181</v>
      </c>
      <c r="Y56" s="227">
        <f>IFERROR(_xlfn.XLOOKUP($A56,'Raw Data'!$A:$A,'Raw Data'!BJ:BJ),"")</f>
        <v>72211.000000010245</v>
      </c>
      <c r="Z56" s="227">
        <f>IFERROR(_xlfn.XLOOKUP($A56,'Raw Data'!$A:$A,'Raw Data'!BK:BK),"")</f>
        <v>646.89999999995962</v>
      </c>
      <c r="AA56" s="227">
        <f>IFERROR(_xlfn.XLOOKUP($A56,'Raw Data'!$A:$A,'Raw Data'!BL:BL),"")</f>
        <v>71564.100000010279</v>
      </c>
      <c r="AB56" s="227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27">
        <f>IFERROR(_xlfn.XLOOKUP($D56,'Modelling New'!$D:$D,'Modelling New'!$T:$T)*1000,"")</f>
        <v>119905.71730852894</v>
      </c>
      <c r="AE56" s="234">
        <f>IFERROR(_xlfn.XLOOKUP($D56,'Modelling New'!$D:$D,'Modelling New'!$O:$O),"")</f>
        <v>0.75566516656343796</v>
      </c>
      <c r="AF56" s="234">
        <f>IFERROR(_xlfn.XLOOKUP($D56,'Modelling New'!$D:$D,'Modelling New'!$W:$W),"")</f>
        <v>0.20557342703284925</v>
      </c>
      <c r="AG56" s="234">
        <f>IFERROR(_xlfn.XLOOKUP($D56,'Modelling New'!$D:$D,'Modelling New'!AE:AE),"")</f>
        <v>0.995</v>
      </c>
      <c r="AH56" s="234">
        <v>0.99750000000000005</v>
      </c>
      <c r="AI56" s="6"/>
      <c r="AJ56" s="6"/>
      <c r="AK56" s="6"/>
      <c r="AL56" s="6"/>
      <c r="AM56" s="6"/>
      <c r="AN56" s="231"/>
      <c r="AO56" s="234"/>
      <c r="AP56" s="234"/>
      <c r="AQ56" s="234"/>
      <c r="AR56" s="227">
        <f>IFERROR(_xlfn.XLOOKUP($D56,'Modelling New'!$D:$D,'Modelling New'!$N:$N),"")</f>
        <v>24.303100000000001</v>
      </c>
      <c r="AS56" s="227"/>
    </row>
    <row r="57" spans="1:45" x14ac:dyDescent="0.35">
      <c r="A57" s="226">
        <f t="shared" si="5"/>
        <v>45800</v>
      </c>
      <c r="B57" s="227">
        <f>YEAR(Daily_KPI[[#This Row],[Date]])+IF(MONTH(Daily_KPI[[#This Row],[Date]])&gt;=4,1,0)</f>
        <v>2026</v>
      </c>
      <c r="C57" s="6">
        <f>YEAR(Daily_KPI[[#This Row],[Date]])</f>
        <v>2025</v>
      </c>
      <c r="D57" s="228">
        <f>Daily_KPI[[#This Row],[Date]]-DAY(Daily_KPI[[#This Row],[Date]])+1</f>
        <v>45778</v>
      </c>
      <c r="E57" s="6">
        <f t="shared" si="7"/>
        <v>31</v>
      </c>
      <c r="F57" s="229">
        <f>IFERROR(_xlfn.XLOOKUP($A57,'Raw Data'!$A:$A,'Raw Data'!$BR:$BR),"")</f>
        <v>12.2</v>
      </c>
      <c r="G57" s="230">
        <f>IFERROR(_xlfn.XLOOKUP($A57,'Raw Data'!$A:$A,'Raw Data'!$AO:$AO),"")</f>
        <v>0</v>
      </c>
      <c r="H57" s="230"/>
      <c r="I57" s="230">
        <f>IFERROR(_xlfn.XLOOKUP($A57,'Raw Data'!$A:$A,'Raw Data'!$AR:$AR),"")</f>
        <v>2.1767361202635911</v>
      </c>
      <c r="J57" s="230"/>
      <c r="K57" s="230">
        <f>IFERROR(_xlfn.XLOOKUP($A57,'Raw Data'!$A:$A,'Raw Data'!$AV:$AV),"")</f>
        <v>0</v>
      </c>
      <c r="L57" s="230">
        <f>IFERROR(_xlfn.XLOOKUP($A57,'Raw Data'!$A:$A,'Raw Data'!$AW:$AW),"")</f>
        <v>0</v>
      </c>
      <c r="M57" s="230">
        <f>IFERROR(_xlfn.XLOOKUP($A57,'Raw Data'!$A:$A,'Raw Data'!$AX:$AX),"")</f>
        <v>0</v>
      </c>
      <c r="N57" s="230">
        <f>IFERROR(_xlfn.XLOOKUP($A57,'Raw Data'!$A:$A,'Raw Data'!$AY:$AY),"")</f>
        <v>0</v>
      </c>
      <c r="O57" s="231">
        <f>IFERROR(1-(SUMIF('Plant BD'!$B:$B,A57,'Plant BD'!$AE:$AE)/(AA57+SUMIF('Plant BD'!$B:$B,A57,'Plant BD'!$AE:$AE))),"")</f>
        <v>0.95608955329760725</v>
      </c>
      <c r="P57" s="231"/>
      <c r="Q57" s="232"/>
      <c r="R57" s="231">
        <f>IFERROR(1-(SUMIF('Grid BD'!$B:$B,$A57,'Grid BD'!$AD:$AD)/($AA57+SUMIF('Grid BD'!$B:$B,$A57,'Grid BD'!AD:AD))),"")</f>
        <v>1</v>
      </c>
      <c r="S57" s="6"/>
      <c r="T57" s="232"/>
      <c r="U57" s="233">
        <f t="shared" si="4"/>
        <v>0.82551256881902335</v>
      </c>
      <c r="V57" s="233"/>
      <c r="W57" s="234">
        <f t="shared" si="6"/>
        <v>7.4871792761664654E-2</v>
      </c>
      <c r="X57" s="227">
        <f>IFERROR(_xlfn.XLOOKUP($A57,'Raw Data'!$A:$A,'Raw Data'!$BA:$BA),"")</f>
        <v>43937</v>
      </c>
      <c r="Y57" s="227">
        <f>IFERROR(_xlfn.XLOOKUP($A57,'Raw Data'!$A:$A,'Raw Data'!BJ:BJ),"")</f>
        <v>44573.199999984354</v>
      </c>
      <c r="Z57" s="227">
        <f>IFERROR(_xlfn.XLOOKUP($A57,'Raw Data'!$A:$A,'Raw Data'!BK:BK),"")</f>
        <v>902.40000000005693</v>
      </c>
      <c r="AA57" s="227">
        <f>IFERROR(_xlfn.XLOOKUP($A57,'Raw Data'!$A:$A,'Raw Data'!BL:BL),"")</f>
        <v>43670.799999984294</v>
      </c>
      <c r="AB57" s="227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27">
        <f>IFERROR(_xlfn.XLOOKUP($D57,'Modelling New'!$D:$D,'Modelling New'!$T:$T)*1000,"")</f>
        <v>119905.71730852894</v>
      </c>
      <c r="AE57" s="234">
        <f>IFERROR(_xlfn.XLOOKUP($D57,'Modelling New'!$D:$D,'Modelling New'!$O:$O),"")</f>
        <v>0.75566516656343796</v>
      </c>
      <c r="AF57" s="234">
        <f>IFERROR(_xlfn.XLOOKUP($D57,'Modelling New'!$D:$D,'Modelling New'!$W:$W),"")</f>
        <v>0.20557342703284925</v>
      </c>
      <c r="AG57" s="234">
        <f>IFERROR(_xlfn.XLOOKUP($D57,'Modelling New'!$D:$D,'Modelling New'!AE:AE),"")</f>
        <v>0.995</v>
      </c>
      <c r="AH57" s="234">
        <v>0.99750000000000005</v>
      </c>
      <c r="AI57" s="6"/>
      <c r="AJ57" s="6"/>
      <c r="AK57" s="6"/>
      <c r="AL57" s="6"/>
      <c r="AM57" s="6"/>
      <c r="AN57" s="231"/>
      <c r="AO57" s="234"/>
      <c r="AP57" s="234"/>
      <c r="AQ57" s="234"/>
      <c r="AR57" s="227">
        <f>IFERROR(_xlfn.XLOOKUP($D57,'Modelling New'!$D:$D,'Modelling New'!$N:$N),"")</f>
        <v>24.303100000000001</v>
      </c>
      <c r="AS57" s="227"/>
    </row>
    <row r="58" spans="1:45" x14ac:dyDescent="0.35">
      <c r="A58" s="226">
        <f t="shared" si="5"/>
        <v>45801</v>
      </c>
      <c r="B58" s="227">
        <f>YEAR(Daily_KPI[[#This Row],[Date]])+IF(MONTH(Daily_KPI[[#This Row],[Date]])&gt;=4,1,0)</f>
        <v>2026</v>
      </c>
      <c r="C58" s="6">
        <f>YEAR(Daily_KPI[[#This Row],[Date]])</f>
        <v>2025</v>
      </c>
      <c r="D58" s="228">
        <f>Daily_KPI[[#This Row],[Date]]-DAY(Daily_KPI[[#This Row],[Date]])+1</f>
        <v>45778</v>
      </c>
      <c r="E58" s="6">
        <f t="shared" si="7"/>
        <v>31</v>
      </c>
      <c r="F58" s="229">
        <f>IFERROR(_xlfn.XLOOKUP($A58,'Raw Data'!$A:$A,'Raw Data'!$BR:$BR),"")</f>
        <v>11.366666666666667</v>
      </c>
      <c r="G58" s="230">
        <f>IFERROR(_xlfn.XLOOKUP($A58,'Raw Data'!$A:$A,'Raw Data'!$AO:$AO),"")</f>
        <v>0</v>
      </c>
      <c r="H58" s="230"/>
      <c r="I58" s="230">
        <f>IFERROR(_xlfn.XLOOKUP($A58,'Raw Data'!$A:$A,'Raw Data'!$AR:$AR),"")</f>
        <v>2.9523102553542007</v>
      </c>
      <c r="J58" s="230"/>
      <c r="K58" s="230">
        <f>IFERROR(_xlfn.XLOOKUP($A58,'Raw Data'!$A:$A,'Raw Data'!$AV:$AV),"")</f>
        <v>0</v>
      </c>
      <c r="L58" s="230">
        <f>IFERROR(_xlfn.XLOOKUP($A58,'Raw Data'!$A:$A,'Raw Data'!$AW:$AW),"")</f>
        <v>0</v>
      </c>
      <c r="M58" s="230">
        <f>IFERROR(_xlfn.XLOOKUP($A58,'Raw Data'!$A:$A,'Raw Data'!$AX:$AX),"")</f>
        <v>0</v>
      </c>
      <c r="N58" s="230">
        <f>IFERROR(_xlfn.XLOOKUP($A58,'Raw Data'!$A:$A,'Raw Data'!$AY:$AY),"")</f>
        <v>0</v>
      </c>
      <c r="O58" s="231">
        <f>IFERROR(1-(SUMIF('Plant BD'!$B:$B,A58,'Plant BD'!$AE:$AE)/(AA58+SUMIF('Plant BD'!$B:$B,A58,'Plant BD'!$AE:$AE))),"")</f>
        <v>0.95268126623551763</v>
      </c>
      <c r="P58" s="231"/>
      <c r="Q58" s="232"/>
      <c r="R58" s="231">
        <f>IFERROR(1-(SUMIF('Grid BD'!$B:$B,$A58,'Grid BD'!$AD:$AD)/($AA58+SUMIF('Grid BD'!$B:$B,$A58,'Grid BD'!AD:AD))),"")</f>
        <v>1</v>
      </c>
      <c r="S58" s="6"/>
      <c r="T58" s="232"/>
      <c r="U58" s="233">
        <f t="shared" si="4"/>
        <v>0.75557741950885005</v>
      </c>
      <c r="V58" s="233"/>
      <c r="W58" s="234">
        <f t="shared" si="6"/>
        <v>9.2945790180418375E-2</v>
      </c>
      <c r="X58" s="227">
        <f>IFERROR(_xlfn.XLOOKUP($A58,'Raw Data'!$A:$A,'Raw Data'!$BA:$BA),"")</f>
        <v>54835</v>
      </c>
      <c r="Y58" s="227">
        <f>IFERROR(_xlfn.XLOOKUP($A58,'Raw Data'!$A:$A,'Raw Data'!BJ:BJ),"")</f>
        <v>55067.600000009406</v>
      </c>
      <c r="Z58" s="227">
        <f>IFERROR(_xlfn.XLOOKUP($A58,'Raw Data'!$A:$A,'Raw Data'!BK:BK),"")</f>
        <v>854.69999999997981</v>
      </c>
      <c r="AA58" s="227">
        <f>IFERROR(_xlfn.XLOOKUP($A58,'Raw Data'!$A:$A,'Raw Data'!BL:BL),"")</f>
        <v>54212.900000009424</v>
      </c>
      <c r="AB58" s="227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27">
        <f>IFERROR(_xlfn.XLOOKUP($D58,'Modelling New'!$D:$D,'Modelling New'!$T:$T)*1000,"")</f>
        <v>119905.71730852894</v>
      </c>
      <c r="AE58" s="234">
        <f>IFERROR(_xlfn.XLOOKUP($D58,'Modelling New'!$D:$D,'Modelling New'!$O:$O),"")</f>
        <v>0.75566516656343796</v>
      </c>
      <c r="AF58" s="234">
        <f>IFERROR(_xlfn.XLOOKUP($D58,'Modelling New'!$D:$D,'Modelling New'!$W:$W),"")</f>
        <v>0.20557342703284925</v>
      </c>
      <c r="AG58" s="234">
        <f>IFERROR(_xlfn.XLOOKUP($D58,'Modelling New'!$D:$D,'Modelling New'!AE:AE),"")</f>
        <v>0.995</v>
      </c>
      <c r="AH58" s="234">
        <v>0.99750000000000005</v>
      </c>
      <c r="AI58" s="6"/>
      <c r="AJ58" s="6"/>
      <c r="AK58" s="6"/>
      <c r="AL58" s="6"/>
      <c r="AM58" s="6"/>
      <c r="AN58" s="231"/>
      <c r="AO58" s="234"/>
      <c r="AP58" s="234"/>
      <c r="AQ58" s="234"/>
      <c r="AR58" s="227">
        <f>IFERROR(_xlfn.XLOOKUP($D58,'Modelling New'!$D:$D,'Modelling New'!$N:$N),"")</f>
        <v>24.303100000000001</v>
      </c>
      <c r="AS58" s="227"/>
    </row>
    <row r="59" spans="1:45" x14ac:dyDescent="0.35">
      <c r="A59" s="226">
        <f t="shared" si="5"/>
        <v>45802</v>
      </c>
      <c r="B59" s="227">
        <f>YEAR(Daily_KPI[[#This Row],[Date]])+IF(MONTH(Daily_KPI[[#This Row],[Date]])&gt;=4,1,0)</f>
        <v>2026</v>
      </c>
      <c r="C59" s="6">
        <f>YEAR(Daily_KPI[[#This Row],[Date]])</f>
        <v>2025</v>
      </c>
      <c r="D59" s="228">
        <f>Daily_KPI[[#This Row],[Date]]-DAY(Daily_KPI[[#This Row],[Date]])+1</f>
        <v>45778</v>
      </c>
      <c r="E59" s="6">
        <f t="shared" si="7"/>
        <v>31</v>
      </c>
      <c r="F59" s="229">
        <f>IFERROR(_xlfn.XLOOKUP($A59,'Raw Data'!$A:$A,'Raw Data'!$BR:$BR),"")</f>
        <v>11.850000000000001</v>
      </c>
      <c r="G59" s="230">
        <f>IFERROR(_xlfn.XLOOKUP($A59,'Raw Data'!$A:$A,'Raw Data'!$AO:$AO),"")</f>
        <v>0</v>
      </c>
      <c r="H59" s="230"/>
      <c r="I59" s="230">
        <f>IFERROR(_xlfn.XLOOKUP($A59,'Raw Data'!$A:$A,'Raw Data'!$AR:$AR),"")</f>
        <v>3.6574287602965398</v>
      </c>
      <c r="J59" s="230"/>
      <c r="K59" s="230">
        <f>IFERROR(_xlfn.XLOOKUP($A59,'Raw Data'!$A:$A,'Raw Data'!$AV:$AV),"")</f>
        <v>0</v>
      </c>
      <c r="L59" s="230">
        <f>IFERROR(_xlfn.XLOOKUP($A59,'Raw Data'!$A:$A,'Raw Data'!$AW:$AW),"")</f>
        <v>0</v>
      </c>
      <c r="M59" s="230">
        <f>IFERROR(_xlfn.XLOOKUP($A59,'Raw Data'!$A:$A,'Raw Data'!$AX:$AX),"")</f>
        <v>0</v>
      </c>
      <c r="N59" s="230">
        <f>IFERROR(_xlfn.XLOOKUP($A59,'Raw Data'!$A:$A,'Raw Data'!$AY:$AY),"")</f>
        <v>0</v>
      </c>
      <c r="O59" s="231">
        <f>IFERROR(1-(SUMIF('Plant BD'!$B:$B,A59,'Plant BD'!$AE:$AE)/(AA59+SUMIF('Plant BD'!$B:$B,A59,'Plant BD'!$AE:$AE))),"")</f>
        <v>0.95194053605630247</v>
      </c>
      <c r="P59" s="231"/>
      <c r="Q59" s="232"/>
      <c r="R59" s="231">
        <f>IFERROR(1-(SUMIF('Grid BD'!$B:$B,$A59,'Grid BD'!$AD:$AD)/($AA59+SUMIF('Grid BD'!$B:$B,$A59,'Grid BD'!AD:AD))),"")</f>
        <v>1</v>
      </c>
      <c r="S59" s="6"/>
      <c r="T59" s="232"/>
      <c r="U59" s="233">
        <f t="shared" si="4"/>
        <v>0.76301606741449768</v>
      </c>
      <c r="V59" s="233"/>
      <c r="W59" s="234">
        <f t="shared" si="6"/>
        <v>0.11627820456375615</v>
      </c>
      <c r="X59" s="227">
        <f>IFERROR(_xlfn.XLOOKUP($A59,'Raw Data'!$A:$A,'Raw Data'!$BA:$BA),"")</f>
        <v>68758</v>
      </c>
      <c r="Y59" s="227">
        <f>IFERROR(_xlfn.XLOOKUP($A59,'Raw Data'!$A:$A,'Raw Data'!BJ:BJ),"")</f>
        <v>68916.100000002189</v>
      </c>
      <c r="Z59" s="227">
        <f>IFERROR(_xlfn.XLOOKUP($A59,'Raw Data'!$A:$A,'Raw Data'!BK:BK),"")</f>
        <v>1094.0000000000509</v>
      </c>
      <c r="AA59" s="227">
        <f>IFERROR(_xlfn.XLOOKUP($A59,'Raw Data'!$A:$A,'Raw Data'!BL:BL),"")</f>
        <v>67822.10000000213</v>
      </c>
      <c r="AB59" s="227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27">
        <f>IFERROR(_xlfn.XLOOKUP($D59,'Modelling New'!$D:$D,'Modelling New'!$T:$T)*1000,"")</f>
        <v>119905.71730852894</v>
      </c>
      <c r="AE59" s="234">
        <f>IFERROR(_xlfn.XLOOKUP($D59,'Modelling New'!$D:$D,'Modelling New'!$O:$O),"")</f>
        <v>0.75566516656343796</v>
      </c>
      <c r="AF59" s="234">
        <f>IFERROR(_xlfn.XLOOKUP($D59,'Modelling New'!$D:$D,'Modelling New'!$W:$W),"")</f>
        <v>0.20557342703284925</v>
      </c>
      <c r="AG59" s="234">
        <f>IFERROR(_xlfn.XLOOKUP($D59,'Modelling New'!$D:$D,'Modelling New'!AE:AE),"")</f>
        <v>0.995</v>
      </c>
      <c r="AH59" s="234">
        <v>0.99750000000000005</v>
      </c>
      <c r="AI59" s="6"/>
      <c r="AJ59" s="6"/>
      <c r="AK59" s="6"/>
      <c r="AL59" s="6"/>
      <c r="AM59" s="6"/>
      <c r="AN59" s="231"/>
      <c r="AO59" s="234"/>
      <c r="AP59" s="234"/>
      <c r="AQ59" s="234"/>
      <c r="AR59" s="227">
        <f>IFERROR(_xlfn.XLOOKUP($D59,'Modelling New'!$D:$D,'Modelling New'!$N:$N),"")</f>
        <v>24.303100000000001</v>
      </c>
      <c r="AS59" s="227"/>
    </row>
    <row r="60" spans="1:45" x14ac:dyDescent="0.35">
      <c r="A60" s="226">
        <f t="shared" si="5"/>
        <v>45803</v>
      </c>
      <c r="B60" s="227">
        <f>YEAR(Daily_KPI[[#This Row],[Date]])+IF(MONTH(Daily_KPI[[#This Row],[Date]])&gt;=4,1,0)</f>
        <v>2026</v>
      </c>
      <c r="C60" s="6">
        <f>YEAR(Daily_KPI[[#This Row],[Date]])</f>
        <v>2025</v>
      </c>
      <c r="D60" s="228">
        <f>Daily_KPI[[#This Row],[Date]]-DAY(Daily_KPI[[#This Row],[Date]])+1</f>
        <v>45778</v>
      </c>
      <c r="E60" s="6">
        <f t="shared" si="7"/>
        <v>31</v>
      </c>
      <c r="F60" s="229">
        <f>IFERROR(_xlfn.XLOOKUP($A60,'Raw Data'!$A:$A,'Raw Data'!$BR:$BR),"")</f>
        <v>12.133333333333333</v>
      </c>
      <c r="G60" s="230">
        <f>IFERROR(_xlfn.XLOOKUP($A60,'Raw Data'!$A:$A,'Raw Data'!$AO:$AO),"")</f>
        <v>0</v>
      </c>
      <c r="H60" s="230"/>
      <c r="I60" s="230">
        <f>IFERROR(_xlfn.XLOOKUP($A60,'Raw Data'!$A:$A,'Raw Data'!$AR:$AR),"")</f>
        <v>5.9795353789126846</v>
      </c>
      <c r="J60" s="230"/>
      <c r="K60" s="230">
        <f>IFERROR(_xlfn.XLOOKUP($A60,'Raw Data'!$A:$A,'Raw Data'!$AV:$AV),"")</f>
        <v>0</v>
      </c>
      <c r="L60" s="230">
        <f>IFERROR(_xlfn.XLOOKUP($A60,'Raw Data'!$A:$A,'Raw Data'!$AW:$AW),"")</f>
        <v>0</v>
      </c>
      <c r="M60" s="230">
        <f>IFERROR(_xlfn.XLOOKUP($A60,'Raw Data'!$A:$A,'Raw Data'!$AX:$AX),"")</f>
        <v>0</v>
      </c>
      <c r="N60" s="230">
        <f>IFERROR(_xlfn.XLOOKUP($A60,'Raw Data'!$A:$A,'Raw Data'!$AY:$AY),"")</f>
        <v>0</v>
      </c>
      <c r="O60" s="231">
        <f>IFERROR(1-(SUMIF('Plant BD'!$B:$B,A60,'Plant BD'!$AE:$AE)/(AA60+SUMIF('Plant BD'!$B:$B,A60,'Plant BD'!$AE:$AE))),"")</f>
        <v>0.95020219016167884</v>
      </c>
      <c r="P60" s="231"/>
      <c r="Q60" s="232"/>
      <c r="R60" s="231">
        <f>IFERROR(1-(SUMIF('Grid BD'!$B:$B,$A60,'Grid BD'!$AD:$AD)/($AA60+SUMIF('Grid BD'!$B:$B,$A60,'Grid BD'!AD:AD))),"")</f>
        <v>1</v>
      </c>
      <c r="S60" s="6"/>
      <c r="T60" s="232"/>
      <c r="U60" s="233">
        <f t="shared" si="4"/>
        <v>0.73222121839164345</v>
      </c>
      <c r="V60" s="233"/>
      <c r="W60" s="234">
        <f t="shared" si="6"/>
        <v>0.18243094502347429</v>
      </c>
      <c r="X60" s="227">
        <f>IFERROR(_xlfn.XLOOKUP($A60,'Raw Data'!$A:$A,'Raw Data'!$BA:$BA),"")</f>
        <v>107809</v>
      </c>
      <c r="Y60" s="227">
        <f>IFERROR(_xlfn.XLOOKUP($A60,'Raw Data'!$A:$A,'Raw Data'!BJ:BJ),"")</f>
        <v>107129.89999999991</v>
      </c>
      <c r="Z60" s="227">
        <f>IFERROR(_xlfn.XLOOKUP($A60,'Raw Data'!$A:$A,'Raw Data'!BK:BK),"")</f>
        <v>722.59999999994307</v>
      </c>
      <c r="AA60" s="227">
        <f>IFERROR(_xlfn.XLOOKUP($A60,'Raw Data'!$A:$A,'Raw Data'!BL:BL),"")</f>
        <v>106407.29999999996</v>
      </c>
      <c r="AB60" s="227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27">
        <f>IFERROR(_xlfn.XLOOKUP($D60,'Modelling New'!$D:$D,'Modelling New'!$T:$T)*1000,"")</f>
        <v>119905.71730852894</v>
      </c>
      <c r="AE60" s="234">
        <f>IFERROR(_xlfn.XLOOKUP($D60,'Modelling New'!$D:$D,'Modelling New'!$O:$O),"")</f>
        <v>0.75566516656343796</v>
      </c>
      <c r="AF60" s="234">
        <f>IFERROR(_xlfn.XLOOKUP($D60,'Modelling New'!$D:$D,'Modelling New'!$W:$W),"")</f>
        <v>0.20557342703284925</v>
      </c>
      <c r="AG60" s="234">
        <f>IFERROR(_xlfn.XLOOKUP($D60,'Modelling New'!$D:$D,'Modelling New'!AE:AE),"")</f>
        <v>0.995</v>
      </c>
      <c r="AH60" s="234">
        <v>0.99750000000000005</v>
      </c>
      <c r="AI60" s="6"/>
      <c r="AJ60" s="6"/>
      <c r="AK60" s="6"/>
      <c r="AL60" s="6"/>
      <c r="AM60" s="6"/>
      <c r="AN60" s="231"/>
      <c r="AO60" s="234"/>
      <c r="AP60" s="234"/>
      <c r="AQ60" s="234"/>
      <c r="AR60" s="227">
        <f>IFERROR(_xlfn.XLOOKUP($D60,'Modelling New'!$D:$D,'Modelling New'!$N:$N),"")</f>
        <v>24.303100000000001</v>
      </c>
      <c r="AS60" s="227"/>
    </row>
    <row r="61" spans="1:45" x14ac:dyDescent="0.35">
      <c r="A61" s="226">
        <f t="shared" si="5"/>
        <v>45804</v>
      </c>
      <c r="B61" s="227">
        <f>YEAR(Daily_KPI[[#This Row],[Date]])+IF(MONTH(Daily_KPI[[#This Row],[Date]])&gt;=4,1,0)</f>
        <v>2026</v>
      </c>
      <c r="C61" s="6">
        <f>YEAR(Daily_KPI[[#This Row],[Date]])</f>
        <v>2025</v>
      </c>
      <c r="D61" s="228">
        <f>Daily_KPI[[#This Row],[Date]]-DAY(Daily_KPI[[#This Row],[Date]])+1</f>
        <v>45778</v>
      </c>
      <c r="E61" s="6">
        <f t="shared" si="7"/>
        <v>31</v>
      </c>
      <c r="F61" s="229">
        <f>IFERROR(_xlfn.XLOOKUP($A61,'Raw Data'!$A:$A,'Raw Data'!$BR:$BR),"")</f>
        <v>8.3833333333333346</v>
      </c>
      <c r="G61" s="230">
        <f>IFERROR(_xlfn.XLOOKUP($A61,'Raw Data'!$A:$A,'Raw Data'!$AO:$AO),"")</f>
        <v>0</v>
      </c>
      <c r="H61" s="230"/>
      <c r="I61" s="230">
        <f>IFERROR(_xlfn.XLOOKUP($A61,'Raw Data'!$A:$A,'Raw Data'!$AR:$AR),"")</f>
        <v>1.1514752883031298</v>
      </c>
      <c r="J61" s="230"/>
      <c r="K61" s="230">
        <f>IFERROR(_xlfn.XLOOKUP($A61,'Raw Data'!$A:$A,'Raw Data'!$AV:$AV),"")</f>
        <v>0</v>
      </c>
      <c r="L61" s="230">
        <f>IFERROR(_xlfn.XLOOKUP($A61,'Raw Data'!$A:$A,'Raw Data'!$AW:$AW),"")</f>
        <v>0</v>
      </c>
      <c r="M61" s="230">
        <f>IFERROR(_xlfn.XLOOKUP($A61,'Raw Data'!$A:$A,'Raw Data'!$AX:$AX),"")</f>
        <v>0</v>
      </c>
      <c r="N61" s="230">
        <f>IFERROR(_xlfn.XLOOKUP($A61,'Raw Data'!$A:$A,'Raw Data'!$AY:$AY),"")</f>
        <v>0</v>
      </c>
      <c r="O61" s="231">
        <f>IFERROR(1-(SUMIF('Plant BD'!$B:$B,A61,'Plant BD'!$AE:$AE)/(AA61+SUMIF('Plant BD'!$B:$B,A61,'Plant BD'!$AE:$AE))),"")</f>
        <v>0.95513657191098666</v>
      </c>
      <c r="P61" s="231"/>
      <c r="Q61" s="232"/>
      <c r="R61" s="231">
        <f>IFERROR(1-(SUMIF('Grid BD'!$B:$B,$A61,'Grid BD'!$AD:$AD)/($AA61+SUMIF('Grid BD'!$B:$B,$A61,'Grid BD'!AD:AD))),"")</f>
        <v>1</v>
      </c>
      <c r="S61" s="6"/>
      <c r="T61" s="232"/>
      <c r="U61" s="233">
        <f t="shared" si="4"/>
        <v>0.81632568235068981</v>
      </c>
      <c r="V61" s="233"/>
      <c r="W61" s="234">
        <f t="shared" si="6"/>
        <v>3.9165785434750404E-2</v>
      </c>
      <c r="X61" s="227">
        <f>IFERROR(_xlfn.XLOOKUP($A61,'Raw Data'!$A:$A,'Raw Data'!$BA:$BA),"")</f>
        <v>23285</v>
      </c>
      <c r="Y61" s="227">
        <f>IFERROR(_xlfn.XLOOKUP($A61,'Raw Data'!$A:$A,'Raw Data'!BJ:BJ),"")</f>
        <v>23843.999999982771</v>
      </c>
      <c r="Z61" s="227">
        <f>IFERROR(_xlfn.XLOOKUP($A61,'Raw Data'!$A:$A,'Raw Data'!BK:BK),"")</f>
        <v>999.59999999998672</v>
      </c>
      <c r="AA61" s="227">
        <f>IFERROR(_xlfn.XLOOKUP($A61,'Raw Data'!$A:$A,'Raw Data'!BL:BL),"")</f>
        <v>22844.399999982783</v>
      </c>
      <c r="AB61" s="227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27">
        <f>IFERROR(_xlfn.XLOOKUP($D61,'Modelling New'!$D:$D,'Modelling New'!$T:$T)*1000,"")</f>
        <v>119905.71730852894</v>
      </c>
      <c r="AE61" s="234">
        <f>IFERROR(_xlfn.XLOOKUP($D61,'Modelling New'!$D:$D,'Modelling New'!$O:$O),"")</f>
        <v>0.75566516656343796</v>
      </c>
      <c r="AF61" s="234">
        <f>IFERROR(_xlfn.XLOOKUP($D61,'Modelling New'!$D:$D,'Modelling New'!$W:$W),"")</f>
        <v>0.20557342703284925</v>
      </c>
      <c r="AG61" s="234">
        <f>IFERROR(_xlfn.XLOOKUP($D61,'Modelling New'!$D:$D,'Modelling New'!AE:AE),"")</f>
        <v>0.995</v>
      </c>
      <c r="AH61" s="234">
        <v>0.99750000000000005</v>
      </c>
      <c r="AI61" s="6"/>
      <c r="AJ61" s="6"/>
      <c r="AK61" s="6"/>
      <c r="AL61" s="6"/>
      <c r="AM61" s="6"/>
      <c r="AN61" s="231"/>
      <c r="AO61" s="234"/>
      <c r="AP61" s="234"/>
      <c r="AQ61" s="234"/>
      <c r="AR61" s="227">
        <f>IFERROR(_xlfn.XLOOKUP($D61,'Modelling New'!$D:$D,'Modelling New'!$N:$N),"")</f>
        <v>24.303100000000001</v>
      </c>
      <c r="AS61" s="227"/>
    </row>
    <row r="62" spans="1:45" x14ac:dyDescent="0.35">
      <c r="A62" s="226">
        <f t="shared" si="5"/>
        <v>45805</v>
      </c>
      <c r="B62" s="227">
        <f>YEAR(Daily_KPI[[#This Row],[Date]])+IF(MONTH(Daily_KPI[[#This Row],[Date]])&gt;=4,1,0)</f>
        <v>2026</v>
      </c>
      <c r="C62" s="6">
        <f>YEAR(Daily_KPI[[#This Row],[Date]])</f>
        <v>2025</v>
      </c>
      <c r="D62" s="228">
        <f>Daily_KPI[[#This Row],[Date]]-DAY(Daily_KPI[[#This Row],[Date]])+1</f>
        <v>45778</v>
      </c>
      <c r="E62" s="6">
        <f t="shared" si="7"/>
        <v>31</v>
      </c>
      <c r="F62" s="229">
        <f>IFERROR(_xlfn.XLOOKUP($A62,'Raw Data'!$A:$A,'Raw Data'!$BR:$BR),"")</f>
        <v>11.866666666666667</v>
      </c>
      <c r="G62" s="230">
        <f>IFERROR(_xlfn.XLOOKUP($A62,'Raw Data'!$A:$A,'Raw Data'!$AO:$AO),"")</f>
        <v>0</v>
      </c>
      <c r="H62" s="230"/>
      <c r="I62" s="230">
        <f>IFERROR(_xlfn.XLOOKUP($A62,'Raw Data'!$A:$A,'Raw Data'!$AR:$AR),"")</f>
        <v>4.3215308072487639</v>
      </c>
      <c r="J62" s="230"/>
      <c r="K62" s="230">
        <f>IFERROR(_xlfn.XLOOKUP($A62,'Raw Data'!$A:$A,'Raw Data'!$AV:$AV),"")</f>
        <v>0</v>
      </c>
      <c r="L62" s="230">
        <f>IFERROR(_xlfn.XLOOKUP($A62,'Raw Data'!$A:$A,'Raw Data'!$AW:$AW),"")</f>
        <v>0</v>
      </c>
      <c r="M62" s="230">
        <f>IFERROR(_xlfn.XLOOKUP($A62,'Raw Data'!$A:$A,'Raw Data'!$AX:$AX),"")</f>
        <v>0</v>
      </c>
      <c r="N62" s="230">
        <f>IFERROR(_xlfn.XLOOKUP($A62,'Raw Data'!$A:$A,'Raw Data'!$AY:$AY),"")</f>
        <v>0</v>
      </c>
      <c r="O62" s="231">
        <f>IFERROR(1-(SUMIF('Plant BD'!$B:$B,A62,'Plant BD'!$AE:$AE)/(AA62+SUMIF('Plant BD'!$B:$B,A62,'Plant BD'!$AE:$AE))),"")</f>
        <v>0.94100853159902031</v>
      </c>
      <c r="P62" s="231"/>
      <c r="Q62" s="232"/>
      <c r="R62" s="231">
        <f>IFERROR(1-(SUMIF('Grid BD'!$B:$B,$A62,'Grid BD'!$AD:$AD)/($AA62+SUMIF('Grid BD'!$B:$B,$A62,'Grid BD'!AD:AD))),"")</f>
        <v>1</v>
      </c>
      <c r="S62" s="6"/>
      <c r="T62" s="232"/>
      <c r="U62" s="233">
        <f t="shared" si="4"/>
        <v>0.73486815157853591</v>
      </c>
      <c r="V62" s="233"/>
      <c r="W62" s="234">
        <f t="shared" si="6"/>
        <v>0.13232313984635821</v>
      </c>
      <c r="X62" s="227">
        <f>IFERROR(_xlfn.XLOOKUP($A62,'Raw Data'!$A:$A,'Raw Data'!$BA:$BA),"")</f>
        <v>78140</v>
      </c>
      <c r="Y62" s="227">
        <f>IFERROR(_xlfn.XLOOKUP($A62,'Raw Data'!$A:$A,'Raw Data'!BJ:BJ),"")</f>
        <v>78273.300000000745</v>
      </c>
      <c r="Z62" s="227">
        <f>IFERROR(_xlfn.XLOOKUP($A62,'Raw Data'!$A:$A,'Raw Data'!BK:BK),"")</f>
        <v>1092.6000000000613</v>
      </c>
      <c r="AA62" s="227">
        <f>IFERROR(_xlfn.XLOOKUP($A62,'Raw Data'!$A:$A,'Raw Data'!BL:BL),"")</f>
        <v>77180.700000000681</v>
      </c>
      <c r="AB62" s="227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27">
        <f>IFERROR(_xlfn.XLOOKUP($D62,'Modelling New'!$D:$D,'Modelling New'!$T:$T)*1000,"")</f>
        <v>119905.71730852894</v>
      </c>
      <c r="AE62" s="234">
        <f>IFERROR(_xlfn.XLOOKUP($D62,'Modelling New'!$D:$D,'Modelling New'!$O:$O),"")</f>
        <v>0.75566516656343796</v>
      </c>
      <c r="AF62" s="234">
        <f>IFERROR(_xlfn.XLOOKUP($D62,'Modelling New'!$D:$D,'Modelling New'!$W:$W),"")</f>
        <v>0.20557342703284925</v>
      </c>
      <c r="AG62" s="234">
        <f>IFERROR(_xlfn.XLOOKUP($D62,'Modelling New'!$D:$D,'Modelling New'!AE:AE),"")</f>
        <v>0.995</v>
      </c>
      <c r="AH62" s="234">
        <v>0.99750000000000005</v>
      </c>
      <c r="AI62" s="6"/>
      <c r="AJ62" s="6"/>
      <c r="AK62" s="6"/>
      <c r="AL62" s="6"/>
      <c r="AM62" s="6"/>
      <c r="AN62" s="231"/>
      <c r="AO62" s="234"/>
      <c r="AP62" s="234"/>
      <c r="AQ62" s="234"/>
      <c r="AR62" s="227">
        <f>IFERROR(_xlfn.XLOOKUP($D62,'Modelling New'!$D:$D,'Modelling New'!$N:$N),"")</f>
        <v>24.303100000000001</v>
      </c>
      <c r="AS62" s="227"/>
    </row>
    <row r="63" spans="1:45" x14ac:dyDescent="0.35">
      <c r="A63" s="226">
        <f t="shared" si="5"/>
        <v>45806</v>
      </c>
      <c r="B63" s="227">
        <f>YEAR(Daily_KPI[[#This Row],[Date]])+IF(MONTH(Daily_KPI[[#This Row],[Date]])&gt;=4,1,0)</f>
        <v>2026</v>
      </c>
      <c r="C63" s="6">
        <f>YEAR(Daily_KPI[[#This Row],[Date]])</f>
        <v>2025</v>
      </c>
      <c r="D63" s="228">
        <f>Daily_KPI[[#This Row],[Date]]-DAY(Daily_KPI[[#This Row],[Date]])+1</f>
        <v>45778</v>
      </c>
      <c r="E63" s="6">
        <f t="shared" si="7"/>
        <v>31</v>
      </c>
      <c r="F63" s="229">
        <f>IFERROR(_xlfn.XLOOKUP($A63,'Raw Data'!$A:$A,'Raw Data'!$BR:$BR),"")</f>
        <v>11.866666666666667</v>
      </c>
      <c r="G63" s="230">
        <f>IFERROR(_xlfn.XLOOKUP($A63,'Raw Data'!$A:$A,'Raw Data'!$AO:$AO),"")</f>
        <v>0</v>
      </c>
      <c r="H63" s="230"/>
      <c r="I63" s="230">
        <f>IFERROR(_xlfn.XLOOKUP($A63,'Raw Data'!$A:$A,'Raw Data'!$AR:$AR),"")</f>
        <v>5.2967977347611201</v>
      </c>
      <c r="J63" s="230"/>
      <c r="K63" s="230">
        <f>IFERROR(_xlfn.XLOOKUP($A63,'Raw Data'!$A:$A,'Raw Data'!$AV:$AV),"")</f>
        <v>0</v>
      </c>
      <c r="L63" s="230">
        <f>IFERROR(_xlfn.XLOOKUP($A63,'Raw Data'!$A:$A,'Raw Data'!$AW:$AW),"")</f>
        <v>0</v>
      </c>
      <c r="M63" s="230">
        <f>IFERROR(_xlfn.XLOOKUP($A63,'Raw Data'!$A:$A,'Raw Data'!$AX:$AX),"")</f>
        <v>0</v>
      </c>
      <c r="N63" s="230">
        <f>IFERROR(_xlfn.XLOOKUP($A63,'Raw Data'!$A:$A,'Raw Data'!$AY:$AY),"")</f>
        <v>0</v>
      </c>
      <c r="O63" s="231">
        <f>IFERROR(1-(SUMIF('Plant BD'!$B:$B,A63,'Plant BD'!$AE:$AE)/(AA63+SUMIF('Plant BD'!$B:$B,A63,'Plant BD'!$AE:$AE))),"")</f>
        <v>0.92993779041975366</v>
      </c>
      <c r="P63" s="231"/>
      <c r="Q63" s="232"/>
      <c r="R63" s="231">
        <f>IFERROR(1-(SUMIF('Grid BD'!$B:$B,$A63,'Grid BD'!$AD:$AD)/($AA63+SUMIF('Grid BD'!$B:$B,$A63,'Grid BD'!AD:AD))),"")</f>
        <v>1</v>
      </c>
      <c r="S63" s="6"/>
      <c r="T63" s="232"/>
      <c r="U63" s="233">
        <f t="shared" si="4"/>
        <v>0.75931142094633697</v>
      </c>
      <c r="V63" s="233"/>
      <c r="W63" s="234">
        <f t="shared" si="6"/>
        <v>0.16757995893528352</v>
      </c>
      <c r="X63" s="227">
        <f>IFERROR(_xlfn.XLOOKUP($A63,'Raw Data'!$A:$A,'Raw Data'!$BA:$BA),"")</f>
        <v>98903</v>
      </c>
      <c r="Y63" s="227">
        <f>IFERROR(_xlfn.XLOOKUP($A63,'Raw Data'!$A:$A,'Raw Data'!BJ:BJ),"")</f>
        <v>98449.800000002142</v>
      </c>
      <c r="Z63" s="227">
        <f>IFERROR(_xlfn.XLOOKUP($A63,'Raw Data'!$A:$A,'Raw Data'!BK:BK),"")</f>
        <v>704.70000000000255</v>
      </c>
      <c r="AA63" s="227">
        <f>IFERROR(_xlfn.XLOOKUP($A63,'Raw Data'!$A:$A,'Raw Data'!BL:BL),"")</f>
        <v>97745.100000002145</v>
      </c>
      <c r="AB63" s="227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27">
        <f>IFERROR(_xlfn.XLOOKUP($D63,'Modelling New'!$D:$D,'Modelling New'!$T:$T)*1000,"")</f>
        <v>119905.71730852894</v>
      </c>
      <c r="AE63" s="234">
        <f>IFERROR(_xlfn.XLOOKUP($D63,'Modelling New'!$D:$D,'Modelling New'!$O:$O),"")</f>
        <v>0.75566516656343796</v>
      </c>
      <c r="AF63" s="234">
        <f>IFERROR(_xlfn.XLOOKUP($D63,'Modelling New'!$D:$D,'Modelling New'!$W:$W),"")</f>
        <v>0.20557342703284925</v>
      </c>
      <c r="AG63" s="234">
        <f>IFERROR(_xlfn.XLOOKUP($D63,'Modelling New'!$D:$D,'Modelling New'!AE:AE),"")</f>
        <v>0.995</v>
      </c>
      <c r="AH63" s="234">
        <v>0.99750000000000005</v>
      </c>
      <c r="AI63" s="6"/>
      <c r="AJ63" s="6"/>
      <c r="AK63" s="6"/>
      <c r="AL63" s="6"/>
      <c r="AM63" s="6"/>
      <c r="AN63" s="231"/>
      <c r="AO63" s="234"/>
      <c r="AP63" s="234"/>
      <c r="AQ63" s="234"/>
      <c r="AR63" s="227">
        <f>IFERROR(_xlfn.XLOOKUP($D63,'Modelling New'!$D:$D,'Modelling New'!$N:$N),"")</f>
        <v>24.303100000000001</v>
      </c>
      <c r="AS63" s="227"/>
    </row>
    <row r="64" spans="1:45" x14ac:dyDescent="0.35">
      <c r="A64" s="226">
        <f t="shared" si="5"/>
        <v>45807</v>
      </c>
      <c r="B64" s="227">
        <f>YEAR(Daily_KPI[[#This Row],[Date]])+IF(MONTH(Daily_KPI[[#This Row],[Date]])&gt;=4,1,0)</f>
        <v>2026</v>
      </c>
      <c r="C64" s="6">
        <f>YEAR(Daily_KPI[[#This Row],[Date]])</f>
        <v>2025</v>
      </c>
      <c r="D64" s="228">
        <f>Daily_KPI[[#This Row],[Date]]-DAY(Daily_KPI[[#This Row],[Date]])+1</f>
        <v>45778</v>
      </c>
      <c r="E64" s="6">
        <f t="shared" si="7"/>
        <v>31</v>
      </c>
      <c r="F64" s="229">
        <f>IFERROR(_xlfn.XLOOKUP($A64,'Raw Data'!$A:$A,'Raw Data'!$BR:$BR),"")</f>
        <v>12.466666666666665</v>
      </c>
      <c r="G64" s="230">
        <f>IFERROR(_xlfn.XLOOKUP($A64,'Raw Data'!$A:$A,'Raw Data'!$AO:$AO),"")</f>
        <v>0</v>
      </c>
      <c r="H64" s="230"/>
      <c r="I64" s="230">
        <f>IFERROR(_xlfn.XLOOKUP($A64,'Raw Data'!$A:$A,'Raw Data'!$AR:$AR),"")</f>
        <v>4.9358996293245472</v>
      </c>
      <c r="J64" s="230"/>
      <c r="K64" s="230">
        <f>IFERROR(_xlfn.XLOOKUP($A64,'Raw Data'!$A:$A,'Raw Data'!$AV:$AV),"")</f>
        <v>0</v>
      </c>
      <c r="L64" s="230">
        <f>IFERROR(_xlfn.XLOOKUP($A64,'Raw Data'!$A:$A,'Raw Data'!$AW:$AW),"")</f>
        <v>0</v>
      </c>
      <c r="M64" s="230">
        <f>IFERROR(_xlfn.XLOOKUP($A64,'Raw Data'!$A:$A,'Raw Data'!$AX:$AX),"")</f>
        <v>0</v>
      </c>
      <c r="N64" s="230">
        <f>IFERROR(_xlfn.XLOOKUP($A64,'Raw Data'!$A:$A,'Raw Data'!$AY:$AY),"")</f>
        <v>0</v>
      </c>
      <c r="O64" s="231">
        <f>IFERROR(1-(SUMIF('Plant BD'!$B:$B,A64,'Plant BD'!$AE:$AE)/(AA64+SUMIF('Plant BD'!$B:$B,A64,'Plant BD'!$AE:$AE))),"")</f>
        <v>0.95287742654970664</v>
      </c>
      <c r="P64" s="231"/>
      <c r="Q64" s="232"/>
      <c r="R64" s="231">
        <f>IFERROR(1-(SUMIF('Grid BD'!$B:$B,$A64,'Grid BD'!$AD:$AD)/($AA64+SUMIF('Grid BD'!$B:$B,$A64,'Grid BD'!AD:AD))),"")</f>
        <v>1</v>
      </c>
      <c r="S64" s="6"/>
      <c r="T64" s="232"/>
      <c r="U64" s="233">
        <f t="shared" si="4"/>
        <v>0.77332534025528221</v>
      </c>
      <c r="V64" s="233"/>
      <c r="W64" s="234">
        <f t="shared" si="6"/>
        <v>0.15904401084638861</v>
      </c>
      <c r="X64" s="227">
        <f>IFERROR(_xlfn.XLOOKUP($A64,'Raw Data'!$A:$A,'Raw Data'!$BA:$BA),"")</f>
        <v>93954</v>
      </c>
      <c r="Y64" s="227">
        <f>IFERROR(_xlfn.XLOOKUP($A64,'Raw Data'!$A:$A,'Raw Data'!BJ:BJ),"")</f>
        <v>93748.600000020815</v>
      </c>
      <c r="Z64" s="227">
        <f>IFERROR(_xlfn.XLOOKUP($A64,'Raw Data'!$A:$A,'Raw Data'!BK:BK),"")</f>
        <v>982.30000000000928</v>
      </c>
      <c r="AA64" s="227">
        <f>IFERROR(_xlfn.XLOOKUP($A64,'Raw Data'!$A:$A,'Raw Data'!BL:BL),"")</f>
        <v>92766.300000020812</v>
      </c>
      <c r="AB64" s="227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27">
        <f>IFERROR(_xlfn.XLOOKUP($D64,'Modelling New'!$D:$D,'Modelling New'!$T:$T)*1000,"")</f>
        <v>119905.71730852894</v>
      </c>
      <c r="AE64" s="234">
        <f>IFERROR(_xlfn.XLOOKUP($D64,'Modelling New'!$D:$D,'Modelling New'!$O:$O),"")</f>
        <v>0.75566516656343796</v>
      </c>
      <c r="AF64" s="234">
        <f>IFERROR(_xlfn.XLOOKUP($D64,'Modelling New'!$D:$D,'Modelling New'!$W:$W),"")</f>
        <v>0.20557342703284925</v>
      </c>
      <c r="AG64" s="234">
        <f>IFERROR(_xlfn.XLOOKUP($D64,'Modelling New'!$D:$D,'Modelling New'!AE:AE),"")</f>
        <v>0.995</v>
      </c>
      <c r="AH64" s="234">
        <v>0.99750000000000005</v>
      </c>
      <c r="AI64" s="6"/>
      <c r="AJ64" s="6"/>
      <c r="AK64" s="6"/>
      <c r="AL64" s="6"/>
      <c r="AM64" s="6"/>
      <c r="AN64" s="231"/>
      <c r="AO64" s="234"/>
      <c r="AP64" s="234"/>
      <c r="AQ64" s="234"/>
      <c r="AR64" s="227">
        <f>IFERROR(_xlfn.XLOOKUP($D64,'Modelling New'!$D:$D,'Modelling New'!$N:$N),"")</f>
        <v>24.303100000000001</v>
      </c>
      <c r="AS64" s="227"/>
    </row>
    <row r="65" spans="1:45" x14ac:dyDescent="0.35">
      <c r="A65" s="226">
        <f t="shared" si="5"/>
        <v>45808</v>
      </c>
      <c r="B65" s="227">
        <f>YEAR(Daily_KPI[[#This Row],[Date]])+IF(MONTH(Daily_KPI[[#This Row],[Date]])&gt;=4,1,0)</f>
        <v>2026</v>
      </c>
      <c r="C65" s="6">
        <f>YEAR(Daily_KPI[[#This Row],[Date]])</f>
        <v>2025</v>
      </c>
      <c r="D65" s="228">
        <f>Daily_KPI[[#This Row],[Date]]-DAY(Daily_KPI[[#This Row],[Date]])+1</f>
        <v>45778</v>
      </c>
      <c r="E65" s="6">
        <f t="shared" si="7"/>
        <v>31</v>
      </c>
      <c r="F65" s="229">
        <f>IFERROR(_xlfn.XLOOKUP($A65,'Raw Data'!$A:$A,'Raw Data'!$BR:$BR),"")</f>
        <v>12.483333333333334</v>
      </c>
      <c r="G65" s="230">
        <f>IFERROR(_xlfn.XLOOKUP($A65,'Raw Data'!$A:$A,'Raw Data'!$AO:$AO),"")</f>
        <v>0</v>
      </c>
      <c r="H65" s="230"/>
      <c r="I65" s="230">
        <f>IFERROR(_xlfn.XLOOKUP($A65,'Raw Data'!$A:$A,'Raw Data'!$AR:$AR),"")</f>
        <v>6.2900738056013186</v>
      </c>
      <c r="J65" s="230"/>
      <c r="K65" s="230">
        <f>IFERROR(_xlfn.XLOOKUP($A65,'Raw Data'!$A:$A,'Raw Data'!$AV:$AV),"")</f>
        <v>0</v>
      </c>
      <c r="L65" s="230">
        <f>IFERROR(_xlfn.XLOOKUP($A65,'Raw Data'!$A:$A,'Raw Data'!$AW:$AW),"")</f>
        <v>0</v>
      </c>
      <c r="M65" s="230">
        <f>IFERROR(_xlfn.XLOOKUP($A65,'Raw Data'!$A:$A,'Raw Data'!$AX:$AX),"")</f>
        <v>0</v>
      </c>
      <c r="N65" s="230">
        <f>IFERROR(_xlfn.XLOOKUP($A65,'Raw Data'!$A:$A,'Raw Data'!$AY:$AY),"")</f>
        <v>0</v>
      </c>
      <c r="O65" s="231">
        <f>IFERROR(1-(SUMIF('Plant BD'!$B:$B,A65,'Plant BD'!$AE:$AE)/(AA65+SUMIF('Plant BD'!$B:$B,A65,'Plant BD'!$AE:$AE))),"")</f>
        <v>0.92637654388950574</v>
      </c>
      <c r="P65" s="231"/>
      <c r="Q65" s="232"/>
      <c r="R65" s="231">
        <f>IFERROR(1-(SUMIF('Grid BD'!$B:$B,$A65,'Grid BD'!$AD:$AD)/($AA65+SUMIF('Grid BD'!$B:$B,$A65,'Grid BD'!AD:AD))),"")</f>
        <v>1</v>
      </c>
      <c r="S65" s="6"/>
      <c r="T65" s="232"/>
      <c r="U65" s="233">
        <f t="shared" si="4"/>
        <v>0.74615669464030276</v>
      </c>
      <c r="V65" s="233"/>
      <c r="W65" s="234">
        <f t="shared" si="6"/>
        <v>0.19555752832629295</v>
      </c>
      <c r="X65" s="227">
        <f>IFERROR(_xlfn.XLOOKUP($A65,'Raw Data'!$A:$A,'Raw Data'!$BA:$BA),"")</f>
        <v>115632</v>
      </c>
      <c r="Y65" s="227">
        <f>IFERROR(_xlfn.XLOOKUP($A65,'Raw Data'!$A:$A,'Raw Data'!BJ:BJ),"")</f>
        <v>114830.30000000144</v>
      </c>
      <c r="Z65" s="227">
        <f>IFERROR(_xlfn.XLOOKUP($A65,'Raw Data'!$A:$A,'Raw Data'!BK:BK),"")</f>
        <v>766.59999999992579</v>
      </c>
      <c r="AA65" s="227">
        <f>IFERROR(_xlfn.XLOOKUP($A65,'Raw Data'!$A:$A,'Raw Data'!BL:BL),"")</f>
        <v>114063.70000000153</v>
      </c>
      <c r="AB65" s="227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27">
        <f>IFERROR(_xlfn.XLOOKUP($D65,'Modelling New'!$D:$D,'Modelling New'!$T:$T)*1000,"")</f>
        <v>119905.71730852894</v>
      </c>
      <c r="AE65" s="234">
        <f>IFERROR(_xlfn.XLOOKUP($D65,'Modelling New'!$D:$D,'Modelling New'!$O:$O),"")</f>
        <v>0.75566516656343796</v>
      </c>
      <c r="AF65" s="234">
        <f>IFERROR(_xlfn.XLOOKUP($D65,'Modelling New'!$D:$D,'Modelling New'!$W:$W),"")</f>
        <v>0.20557342703284925</v>
      </c>
      <c r="AG65" s="234">
        <f>IFERROR(_xlfn.XLOOKUP($D65,'Modelling New'!$D:$D,'Modelling New'!AE:AE),"")</f>
        <v>0.995</v>
      </c>
      <c r="AH65" s="234">
        <v>0.99750000000000005</v>
      </c>
      <c r="AI65" s="6"/>
      <c r="AJ65" s="6"/>
      <c r="AK65" s="6"/>
      <c r="AL65" s="6"/>
      <c r="AM65" s="6"/>
      <c r="AN65" s="231"/>
      <c r="AO65" s="234"/>
      <c r="AP65" s="234"/>
      <c r="AQ65" s="234"/>
      <c r="AR65" s="227">
        <f>IFERROR(_xlfn.XLOOKUP($D65,'Modelling New'!$D:$D,'Modelling New'!$N:$N),"")</f>
        <v>24.303100000000001</v>
      </c>
      <c r="AS65" s="227"/>
    </row>
    <row r="66" spans="1:45" x14ac:dyDescent="0.35">
      <c r="A66" s="226">
        <f t="shared" si="5"/>
        <v>45809</v>
      </c>
      <c r="B66" s="227">
        <f>YEAR(Daily_KPI[[#This Row],[Date]])+IF(MONTH(Daily_KPI[[#This Row],[Date]])&gt;=4,1,0)</f>
        <v>2026</v>
      </c>
      <c r="C66" s="6">
        <f>YEAR(Daily_KPI[[#This Row],[Date]])</f>
        <v>2025</v>
      </c>
      <c r="D66" s="228">
        <f>Daily_KPI[[#This Row],[Date]]-DAY(Daily_KPI[[#This Row],[Date]])+1</f>
        <v>45809</v>
      </c>
      <c r="E66" s="6">
        <f t="shared" si="7"/>
        <v>30</v>
      </c>
      <c r="F66" s="229">
        <f>IFERROR(_xlfn.XLOOKUP($A66,'Raw Data'!$A:$A,'Raw Data'!$BR:$BR),"")</f>
        <v>12.5</v>
      </c>
      <c r="G66" s="230">
        <f>IFERROR(_xlfn.XLOOKUP($A66,'Raw Data'!$A:$A,'Raw Data'!$AO:$AO),"")</f>
        <v>0</v>
      </c>
      <c r="H66" s="230"/>
      <c r="I66" s="230">
        <f>IFERROR(_xlfn.XLOOKUP($A66,'Raw Data'!$A:$A,'Raw Data'!$AR:$AR),"")</f>
        <v>5.7892144563426688</v>
      </c>
      <c r="J66" s="230"/>
      <c r="K66" s="230">
        <f>IFERROR(_xlfn.XLOOKUP($A66,'Raw Data'!$A:$A,'Raw Data'!$AV:$AV),"")</f>
        <v>0</v>
      </c>
      <c r="L66" s="230">
        <f>IFERROR(_xlfn.XLOOKUP($A66,'Raw Data'!$A:$A,'Raw Data'!$AW:$AW),"")</f>
        <v>0</v>
      </c>
      <c r="M66" s="230">
        <f>IFERROR(_xlfn.XLOOKUP($A66,'Raw Data'!$A:$A,'Raw Data'!$AX:$AX),"")</f>
        <v>0</v>
      </c>
      <c r="N66" s="230">
        <f>IFERROR(_xlfn.XLOOKUP($A66,'Raw Data'!$A:$A,'Raw Data'!$AY:$AY),"")</f>
        <v>0</v>
      </c>
      <c r="O66" s="231">
        <f>IFERROR(1-(SUMIF('Plant BD'!$B:$B,A66,'Plant BD'!$AE:$AE)/(AA66+SUMIF('Plant BD'!$B:$B,A66,'Plant BD'!$AE:$AE))),"")</f>
        <v>0.95456124358814143</v>
      </c>
      <c r="P66" s="231"/>
      <c r="Q66" s="232"/>
      <c r="R66" s="231">
        <f>IFERROR(1-(SUMIF('Grid BD'!$B:$B,$A66,'Grid BD'!$AD:$AD)/($AA66+SUMIF('Grid BD'!$B:$B,$A66,'Grid BD'!AD:AD))),"")</f>
        <v>1</v>
      </c>
      <c r="S66" s="6"/>
      <c r="T66" s="232"/>
      <c r="U66" s="233">
        <f t="shared" si="4"/>
        <v>0.78584900569541583</v>
      </c>
      <c r="V66" s="233"/>
      <c r="W66" s="234">
        <f t="shared" si="6"/>
        <v>0.1895603510114339</v>
      </c>
      <c r="X66" s="227">
        <f>IFERROR(_xlfn.XLOOKUP($A66,'Raw Data'!$A:$A,'Raw Data'!$BA:$BA),"")</f>
        <v>112002</v>
      </c>
      <c r="Y66" s="227">
        <f>IFERROR(_xlfn.XLOOKUP($A66,'Raw Data'!$A:$A,'Raw Data'!BJ:BJ),"")</f>
        <v>111396.09999998356</v>
      </c>
      <c r="Z66" s="227">
        <f>IFERROR(_xlfn.XLOOKUP($A66,'Raw Data'!$A:$A,'Raw Data'!BK:BK),"")</f>
        <v>830.40000000005421</v>
      </c>
      <c r="AA66" s="227">
        <f>IFERROR(_xlfn.XLOOKUP($A66,'Raw Data'!$A:$A,'Raw Data'!BL:BL),"")</f>
        <v>110565.69999998351</v>
      </c>
      <c r="AB66" s="227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27">
        <f>IFERROR(_xlfn.XLOOKUP($D66,'Modelling New'!$D:$D,'Modelling New'!$T:$T)*1000,"")</f>
        <v>91091.690669094809</v>
      </c>
      <c r="AE66" s="234">
        <f>IFERROR(_xlfn.XLOOKUP($D66,'Modelling New'!$D:$D,'Modelling New'!$O:$O),"")</f>
        <v>0.73158446710143066</v>
      </c>
      <c r="AF66" s="234">
        <f>IFERROR(_xlfn.XLOOKUP($D66,'Modelling New'!$D:$D,'Modelling New'!$W:$W),"")</f>
        <v>0.15617296193540262</v>
      </c>
      <c r="AG66" s="234">
        <f>IFERROR(_xlfn.XLOOKUP($D66,'Modelling New'!$D:$D,'Modelling New'!AE:AE),"")</f>
        <v>0.995</v>
      </c>
      <c r="AH66" s="234">
        <v>0.99750000000000005</v>
      </c>
      <c r="AI66" s="6"/>
      <c r="AJ66" s="6"/>
      <c r="AK66" s="6"/>
      <c r="AL66" s="6"/>
      <c r="AM66" s="6"/>
      <c r="AN66" s="231"/>
      <c r="AO66" s="234"/>
      <c r="AP66" s="234"/>
      <c r="AQ66" s="234"/>
      <c r="AR66" s="227">
        <f>IFERROR(_xlfn.XLOOKUP($D66,'Modelling New'!$D:$D,'Modelling New'!$N:$N),"")</f>
        <v>24.303100000000001</v>
      </c>
      <c r="AS66" s="227"/>
    </row>
    <row r="67" spans="1:45" x14ac:dyDescent="0.35">
      <c r="A67" s="226">
        <f t="shared" si="5"/>
        <v>45810</v>
      </c>
      <c r="B67" s="227">
        <f>YEAR(Daily_KPI[[#This Row],[Date]])+IF(MONTH(Daily_KPI[[#This Row],[Date]])&gt;=4,1,0)</f>
        <v>2026</v>
      </c>
      <c r="C67" s="6">
        <f>YEAR(Daily_KPI[[#This Row],[Date]])</f>
        <v>2025</v>
      </c>
      <c r="D67" s="228">
        <f>Daily_KPI[[#This Row],[Date]]-DAY(Daily_KPI[[#This Row],[Date]])+1</f>
        <v>45809</v>
      </c>
      <c r="E67" s="6">
        <f t="shared" si="7"/>
        <v>30</v>
      </c>
      <c r="F67" s="229">
        <f>IFERROR(_xlfn.XLOOKUP($A67,'Raw Data'!$A:$A,'Raw Data'!$BR:$BR),"")</f>
        <v>12.666666666666668</v>
      </c>
      <c r="G67" s="230">
        <f>IFERROR(_xlfn.XLOOKUP($A67,'Raw Data'!$A:$A,'Raw Data'!$AO:$AO),"")</f>
        <v>0</v>
      </c>
      <c r="H67" s="230"/>
      <c r="I67" s="230">
        <f>IFERROR(_xlfn.XLOOKUP($A67,'Raw Data'!$A:$A,'Raw Data'!$AR:$AR),"")</f>
        <v>5.8831293245469514</v>
      </c>
      <c r="J67" s="230"/>
      <c r="K67" s="230">
        <f>IFERROR(_xlfn.XLOOKUP($A67,'Raw Data'!$A:$A,'Raw Data'!$AV:$AV),"")</f>
        <v>0</v>
      </c>
      <c r="L67" s="230">
        <f>IFERROR(_xlfn.XLOOKUP($A67,'Raw Data'!$A:$A,'Raw Data'!$AW:$AW),"")</f>
        <v>0</v>
      </c>
      <c r="M67" s="230">
        <f>IFERROR(_xlfn.XLOOKUP($A67,'Raw Data'!$A:$A,'Raw Data'!$AX:$AX),"")</f>
        <v>0</v>
      </c>
      <c r="N67" s="230">
        <f>IFERROR(_xlfn.XLOOKUP($A67,'Raw Data'!$A:$A,'Raw Data'!$AY:$AY),"")</f>
        <v>0</v>
      </c>
      <c r="O67" s="231">
        <f>IFERROR(1-(SUMIF('Plant BD'!$B:$B,A67,'Plant BD'!$AE:$AE)/(AA67+SUMIF('Plant BD'!$B:$B,A67,'Plant BD'!$AE:$AE))),"")</f>
        <v>0.95329229557642503</v>
      </c>
      <c r="P67" s="231"/>
      <c r="Q67" s="232"/>
      <c r="R67" s="231">
        <f>IFERROR(1-(SUMIF('Grid BD'!$B:$B,$A67,'Grid BD'!$AD:$AD)/($AA67+SUMIF('Grid BD'!$B:$B,$A67,'Grid BD'!AD:AD))),"")</f>
        <v>1</v>
      </c>
      <c r="S67" s="6"/>
      <c r="T67" s="232"/>
      <c r="U67" s="233">
        <f t="shared" si="4"/>
        <v>0.77092478506837003</v>
      </c>
      <c r="V67" s="233"/>
      <c r="W67" s="234">
        <f t="shared" si="6"/>
        <v>0.18897709208565766</v>
      </c>
      <c r="X67" s="227">
        <f>IFERROR(_xlfn.XLOOKUP($A67,'Raw Data'!$A:$A,'Raw Data'!$BA:$BA),"")</f>
        <v>111865</v>
      </c>
      <c r="Y67" s="227">
        <f>IFERROR(_xlfn.XLOOKUP($A67,'Raw Data'!$A:$A,'Raw Data'!BJ:BJ),"")</f>
        <v>111147.20000000671</v>
      </c>
      <c r="Z67" s="227">
        <f>IFERROR(_xlfn.XLOOKUP($A67,'Raw Data'!$A:$A,'Raw Data'!BK:BK),"")</f>
        <v>921.69999999998709</v>
      </c>
      <c r="AA67" s="227">
        <f>IFERROR(_xlfn.XLOOKUP($A67,'Raw Data'!$A:$A,'Raw Data'!BL:BL),"")</f>
        <v>110225.50000000672</v>
      </c>
      <c r="AB67" s="227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27">
        <f>IFERROR(_xlfn.XLOOKUP($D67,'Modelling New'!$D:$D,'Modelling New'!$T:$T)*1000,"")</f>
        <v>91091.690669094809</v>
      </c>
      <c r="AE67" s="234">
        <f>IFERROR(_xlfn.XLOOKUP($D67,'Modelling New'!$D:$D,'Modelling New'!$O:$O),"")</f>
        <v>0.73158446710143066</v>
      </c>
      <c r="AF67" s="234">
        <f>IFERROR(_xlfn.XLOOKUP($D67,'Modelling New'!$D:$D,'Modelling New'!$W:$W),"")</f>
        <v>0.15617296193540262</v>
      </c>
      <c r="AG67" s="234">
        <f>IFERROR(_xlfn.XLOOKUP($D67,'Modelling New'!$D:$D,'Modelling New'!AE:AE),"")</f>
        <v>0.995</v>
      </c>
      <c r="AH67" s="234">
        <v>0.99750000000000005</v>
      </c>
      <c r="AI67" s="6"/>
      <c r="AJ67" s="6"/>
      <c r="AK67" s="6"/>
      <c r="AL67" s="6"/>
      <c r="AM67" s="6"/>
      <c r="AN67" s="231"/>
      <c r="AO67" s="234"/>
      <c r="AP67" s="234"/>
      <c r="AQ67" s="234"/>
      <c r="AR67" s="227">
        <f>IFERROR(_xlfn.XLOOKUP($D67,'Modelling New'!$D:$D,'Modelling New'!$N:$N),"")</f>
        <v>24.303100000000001</v>
      </c>
      <c r="AS67" s="227"/>
    </row>
    <row r="68" spans="1:45" x14ac:dyDescent="0.35">
      <c r="A68" s="226">
        <f t="shared" si="5"/>
        <v>45811</v>
      </c>
      <c r="B68" s="227">
        <f>YEAR(Daily_KPI[[#This Row],[Date]])+IF(MONTH(Daily_KPI[[#This Row],[Date]])&gt;=4,1,0)</f>
        <v>2026</v>
      </c>
      <c r="C68" s="6">
        <f>YEAR(Daily_KPI[[#This Row],[Date]])</f>
        <v>2025</v>
      </c>
      <c r="D68" s="228">
        <f>Daily_KPI[[#This Row],[Date]]-DAY(Daily_KPI[[#This Row],[Date]])+1</f>
        <v>45809</v>
      </c>
      <c r="E68" s="6">
        <f t="shared" si="7"/>
        <v>30</v>
      </c>
      <c r="F68" s="229">
        <f>IFERROR(_xlfn.XLOOKUP($A68,'Raw Data'!$A:$A,'Raw Data'!$BR:$BR),"")</f>
        <v>12.666666666666668</v>
      </c>
      <c r="G68" s="230">
        <f>IFERROR(_xlfn.XLOOKUP($A68,'Raw Data'!$A:$A,'Raw Data'!$AO:$AO),"")</f>
        <v>0</v>
      </c>
      <c r="H68" s="230"/>
      <c r="I68" s="230">
        <f>IFERROR(_xlfn.XLOOKUP($A68,'Raw Data'!$A:$A,'Raw Data'!$AR:$AR),"")</f>
        <v>5.7742175041186155</v>
      </c>
      <c r="J68" s="230"/>
      <c r="K68" s="230">
        <f>IFERROR(_xlfn.XLOOKUP($A68,'Raw Data'!$A:$A,'Raw Data'!$AV:$AV),"")</f>
        <v>0</v>
      </c>
      <c r="L68" s="230">
        <f>IFERROR(_xlfn.XLOOKUP($A68,'Raw Data'!$A:$A,'Raw Data'!$AW:$AW),"")</f>
        <v>0</v>
      </c>
      <c r="M68" s="230">
        <f>IFERROR(_xlfn.XLOOKUP($A68,'Raw Data'!$A:$A,'Raw Data'!$AX:$AX),"")</f>
        <v>0</v>
      </c>
      <c r="N68" s="230">
        <f>IFERROR(_xlfn.XLOOKUP($A68,'Raw Data'!$A:$A,'Raw Data'!$AY:$AY),"")</f>
        <v>0</v>
      </c>
      <c r="O68" s="231">
        <f>IFERROR(1-(SUMIF('Plant BD'!$B:$B,A68,'Plant BD'!$AE:$AE)/(AA68+SUMIF('Plant BD'!$B:$B,A68,'Plant BD'!$AE:$AE))),"")</f>
        <v>0.95392537529760912</v>
      </c>
      <c r="P68" s="231"/>
      <c r="Q68" s="232"/>
      <c r="R68" s="231">
        <f>IFERROR(1-(SUMIF('Grid BD'!$B:$B,$A68,'Grid BD'!$AD:$AD)/($AA68+SUMIF('Grid BD'!$B:$B,$A68,'Grid BD'!AD:AD))),"")</f>
        <v>1</v>
      </c>
      <c r="S68" s="6"/>
      <c r="T68" s="232"/>
      <c r="U68" s="233">
        <f t="shared" si="4"/>
        <v>0.76763797117987564</v>
      </c>
      <c r="V68" s="233"/>
      <c r="W68" s="234">
        <f t="shared" si="6"/>
        <v>0.18468785875053914</v>
      </c>
      <c r="X68" s="227">
        <f>IFERROR(_xlfn.XLOOKUP($A68,'Raw Data'!$A:$A,'Raw Data'!$BA:$BA),"")</f>
        <v>109625</v>
      </c>
      <c r="Y68" s="227">
        <f>IFERROR(_xlfn.XLOOKUP($A68,'Raw Data'!$A:$A,'Raw Data'!BJ:BJ),"")</f>
        <v>108994.60000000545</v>
      </c>
      <c r="Z68" s="227">
        <f>IFERROR(_xlfn.XLOOKUP($A68,'Raw Data'!$A:$A,'Raw Data'!BK:BK),"")</f>
        <v>1270.8999999999833</v>
      </c>
      <c r="AA68" s="227">
        <f>IFERROR(_xlfn.XLOOKUP($A68,'Raw Data'!$A:$A,'Raw Data'!BL:BL),"")</f>
        <v>107723.70000000547</v>
      </c>
      <c r="AB68" s="227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27">
        <f>IFERROR(_xlfn.XLOOKUP($D68,'Modelling New'!$D:$D,'Modelling New'!$T:$T)*1000,"")</f>
        <v>91091.690669094809</v>
      </c>
      <c r="AE68" s="234">
        <f>IFERROR(_xlfn.XLOOKUP($D68,'Modelling New'!$D:$D,'Modelling New'!$O:$O),"")</f>
        <v>0.73158446710143066</v>
      </c>
      <c r="AF68" s="234">
        <f>IFERROR(_xlfn.XLOOKUP($D68,'Modelling New'!$D:$D,'Modelling New'!$W:$W),"")</f>
        <v>0.15617296193540262</v>
      </c>
      <c r="AG68" s="234">
        <f>IFERROR(_xlfn.XLOOKUP($D68,'Modelling New'!$D:$D,'Modelling New'!AE:AE),"")</f>
        <v>0.995</v>
      </c>
      <c r="AH68" s="234">
        <v>0.99750000000000005</v>
      </c>
      <c r="AI68" s="6"/>
      <c r="AJ68" s="6"/>
      <c r="AK68" s="6"/>
      <c r="AL68" s="6"/>
      <c r="AM68" s="6"/>
      <c r="AN68" s="231"/>
      <c r="AO68" s="234"/>
      <c r="AP68" s="234"/>
      <c r="AQ68" s="234"/>
      <c r="AR68" s="227">
        <f>IFERROR(_xlfn.XLOOKUP($D68,'Modelling New'!$D:$D,'Modelling New'!$N:$N),"")</f>
        <v>24.303100000000001</v>
      </c>
      <c r="AS68" s="227"/>
    </row>
    <row r="69" spans="1:45" x14ac:dyDescent="0.35">
      <c r="A69" s="226">
        <f t="shared" si="5"/>
        <v>45812</v>
      </c>
      <c r="B69" s="227">
        <f>YEAR(Daily_KPI[[#This Row],[Date]])+IF(MONTH(Daily_KPI[[#This Row],[Date]])&gt;=4,1,0)</f>
        <v>2026</v>
      </c>
      <c r="C69" s="6">
        <f>YEAR(Daily_KPI[[#This Row],[Date]])</f>
        <v>2025</v>
      </c>
      <c r="D69" s="228">
        <f>Daily_KPI[[#This Row],[Date]]-DAY(Daily_KPI[[#This Row],[Date]])+1</f>
        <v>45809</v>
      </c>
      <c r="E69" s="6">
        <f t="shared" si="7"/>
        <v>30</v>
      </c>
      <c r="F69" s="229">
        <f>IFERROR(_xlfn.XLOOKUP($A69,'Raw Data'!$A:$A,'Raw Data'!$BR:$BR),"")</f>
        <v>11.850000000000001</v>
      </c>
      <c r="G69" s="230">
        <f>IFERROR(_xlfn.XLOOKUP($A69,'Raw Data'!$A:$A,'Raw Data'!$AO:$AO),"")</f>
        <v>0</v>
      </c>
      <c r="H69" s="230"/>
      <c r="I69" s="230">
        <f>IFERROR(_xlfn.XLOOKUP($A69,'Raw Data'!$A:$A,'Raw Data'!$AR:$AR),"")</f>
        <v>4.2089954283360793</v>
      </c>
      <c r="J69" s="230"/>
      <c r="K69" s="230">
        <f>IFERROR(_xlfn.XLOOKUP($A69,'Raw Data'!$A:$A,'Raw Data'!$AV:$AV),"")</f>
        <v>0</v>
      </c>
      <c r="L69" s="230">
        <f>IFERROR(_xlfn.XLOOKUP($A69,'Raw Data'!$A:$A,'Raw Data'!$AW:$AW),"")</f>
        <v>0</v>
      </c>
      <c r="M69" s="230">
        <f>IFERROR(_xlfn.XLOOKUP($A69,'Raw Data'!$A:$A,'Raw Data'!$AX:$AX),"")</f>
        <v>0</v>
      </c>
      <c r="N69" s="230">
        <f>IFERROR(_xlfn.XLOOKUP($A69,'Raw Data'!$A:$A,'Raw Data'!$AY:$AY),"")</f>
        <v>0</v>
      </c>
      <c r="O69" s="231">
        <f>IFERROR(1-(SUMIF('Plant BD'!$B:$B,A69,'Plant BD'!$AE:$AE)/(AA69+SUMIF('Plant BD'!$B:$B,A69,'Plant BD'!$AE:$AE))),"")</f>
        <v>0.95749980075325147</v>
      </c>
      <c r="P69" s="231"/>
      <c r="Q69" s="232"/>
      <c r="R69" s="231">
        <f>IFERROR(1-(SUMIF('Grid BD'!$B:$B,$A69,'Grid BD'!$AD:$AD)/($AA69+SUMIF('Grid BD'!$B:$B,$A69,'Grid BD'!AD:AD))),"")</f>
        <v>1</v>
      </c>
      <c r="S69" s="6"/>
      <c r="T69" s="232"/>
      <c r="U69" s="233">
        <f t="shared" si="4"/>
        <v>0.8228404846934797</v>
      </c>
      <c r="V69" s="233"/>
      <c r="W69" s="234">
        <f t="shared" si="6"/>
        <v>0.14430549326352915</v>
      </c>
      <c r="X69" s="227">
        <f>IFERROR(_xlfn.XLOOKUP($A69,'Raw Data'!$A:$A,'Raw Data'!$BA:$BA),"")</f>
        <v>84614</v>
      </c>
      <c r="Y69" s="227">
        <f>IFERROR(_xlfn.XLOOKUP($A69,'Raw Data'!$A:$A,'Raw Data'!BJ:BJ),"")</f>
        <v>84481.999999989057</v>
      </c>
      <c r="Z69" s="227">
        <f>IFERROR(_xlfn.XLOOKUP($A69,'Raw Data'!$A:$A,'Raw Data'!BK:BK),"")</f>
        <v>312.3000000000502</v>
      </c>
      <c r="AA69" s="227">
        <f>IFERROR(_xlfn.XLOOKUP($A69,'Raw Data'!$A:$A,'Raw Data'!BL:BL),"")</f>
        <v>84169.69999998901</v>
      </c>
      <c r="AB69" s="227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27">
        <f>IFERROR(_xlfn.XLOOKUP($D69,'Modelling New'!$D:$D,'Modelling New'!$T:$T)*1000,"")</f>
        <v>91091.690669094809</v>
      </c>
      <c r="AE69" s="234">
        <f>IFERROR(_xlfn.XLOOKUP($D69,'Modelling New'!$D:$D,'Modelling New'!$O:$O),"")</f>
        <v>0.73158446710143066</v>
      </c>
      <c r="AF69" s="234">
        <f>IFERROR(_xlfn.XLOOKUP($D69,'Modelling New'!$D:$D,'Modelling New'!$W:$W),"")</f>
        <v>0.15617296193540262</v>
      </c>
      <c r="AG69" s="234">
        <f>IFERROR(_xlfn.XLOOKUP($D69,'Modelling New'!$D:$D,'Modelling New'!AE:AE),"")</f>
        <v>0.995</v>
      </c>
      <c r="AH69" s="234">
        <v>0.99750000000000005</v>
      </c>
      <c r="AI69" s="6"/>
      <c r="AJ69" s="6"/>
      <c r="AK69" s="6"/>
      <c r="AL69" s="6"/>
      <c r="AM69" s="6"/>
      <c r="AN69" s="231"/>
      <c r="AO69" s="234"/>
      <c r="AP69" s="234"/>
      <c r="AQ69" s="234"/>
      <c r="AR69" s="227">
        <f>IFERROR(_xlfn.XLOOKUP($D69,'Modelling New'!$D:$D,'Modelling New'!$N:$N),"")</f>
        <v>24.303100000000001</v>
      </c>
      <c r="AS69" s="227"/>
    </row>
    <row r="70" spans="1:45" x14ac:dyDescent="0.35">
      <c r="A70" s="226">
        <f t="shared" si="5"/>
        <v>45813</v>
      </c>
      <c r="B70" s="227">
        <f>YEAR(Daily_KPI[[#This Row],[Date]])+IF(MONTH(Daily_KPI[[#This Row],[Date]])&gt;=4,1,0)</f>
        <v>2026</v>
      </c>
      <c r="C70" s="6">
        <f>YEAR(Daily_KPI[[#This Row],[Date]])</f>
        <v>2025</v>
      </c>
      <c r="D70" s="228">
        <f>Daily_KPI[[#This Row],[Date]]-DAY(Daily_KPI[[#This Row],[Date]])+1</f>
        <v>45809</v>
      </c>
      <c r="E70" s="6">
        <f t="shared" si="7"/>
        <v>30</v>
      </c>
      <c r="F70" s="229">
        <f>IFERROR(_xlfn.XLOOKUP($A70,'Raw Data'!$A:$A,'Raw Data'!$BR:$BR),"")</f>
        <v>12.533333333333335</v>
      </c>
      <c r="G70" s="230">
        <f>IFERROR(_xlfn.XLOOKUP($A70,'Raw Data'!$A:$A,'Raw Data'!$AO:$AO),"")</f>
        <v>0</v>
      </c>
      <c r="H70" s="230"/>
      <c r="I70" s="230">
        <f>IFERROR(_xlfn.XLOOKUP($A70,'Raw Data'!$A:$A,'Raw Data'!$AR:$AR),"")</f>
        <v>6.1621018945634258</v>
      </c>
      <c r="J70" s="230"/>
      <c r="K70" s="230">
        <f>IFERROR(_xlfn.XLOOKUP($A70,'Raw Data'!$A:$A,'Raw Data'!$AV:$AV),"")</f>
        <v>0</v>
      </c>
      <c r="L70" s="230">
        <f>IFERROR(_xlfn.XLOOKUP($A70,'Raw Data'!$A:$A,'Raw Data'!$AW:$AW),"")</f>
        <v>0</v>
      </c>
      <c r="M70" s="230">
        <f>IFERROR(_xlfn.XLOOKUP($A70,'Raw Data'!$A:$A,'Raw Data'!$AX:$AX),"")</f>
        <v>0</v>
      </c>
      <c r="N70" s="230">
        <f>IFERROR(_xlfn.XLOOKUP($A70,'Raw Data'!$A:$A,'Raw Data'!$AY:$AY),"")</f>
        <v>0</v>
      </c>
      <c r="O70" s="231">
        <f>IFERROR(1-(SUMIF('Plant BD'!$B:$B,A70,'Plant BD'!$AE:$AE)/(AA70+SUMIF('Plant BD'!$B:$B,A70,'Plant BD'!$AE:$AE))),"")</f>
        <v>0.95380201314293311</v>
      </c>
      <c r="P70" s="231"/>
      <c r="Q70" s="232"/>
      <c r="R70" s="231">
        <f>IFERROR(1-(SUMIF('Grid BD'!$B:$B,$A70,'Grid BD'!$AD:$AD)/($AA70+SUMIF('Grid BD'!$B:$B,$A70,'Grid BD'!AD:AD))),"")</f>
        <v>1</v>
      </c>
      <c r="S70" s="6"/>
      <c r="T70" s="232"/>
      <c r="U70" s="233">
        <f t="shared" si="4"/>
        <v>0.76413836696690662</v>
      </c>
      <c r="V70" s="233"/>
      <c r="W70" s="234">
        <f t="shared" si="6"/>
        <v>0.19619576994980739</v>
      </c>
      <c r="X70" s="227">
        <f>IFERROR(_xlfn.XLOOKUP($A70,'Raw Data'!$A:$A,'Raw Data'!$BA:$BA),"")</f>
        <v>116129</v>
      </c>
      <c r="Y70" s="227">
        <f>IFERROR(_xlfn.XLOOKUP($A70,'Raw Data'!$A:$A,'Raw Data'!BJ:BJ),"")</f>
        <v>115321.82000001194</v>
      </c>
      <c r="Z70" s="227">
        <f>IFERROR(_xlfn.XLOOKUP($A70,'Raw Data'!$A:$A,'Raw Data'!BK:BK),"")</f>
        <v>885.85000000000491</v>
      </c>
      <c r="AA70" s="227">
        <f>IFERROR(_xlfn.XLOOKUP($A70,'Raw Data'!$A:$A,'Raw Data'!BL:BL),"")</f>
        <v>114435.97000001193</v>
      </c>
      <c r="AB70" s="227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27">
        <f>IFERROR(_xlfn.XLOOKUP($D70,'Modelling New'!$D:$D,'Modelling New'!$T:$T)*1000,"")</f>
        <v>91091.690669094809</v>
      </c>
      <c r="AE70" s="234">
        <f>IFERROR(_xlfn.XLOOKUP($D70,'Modelling New'!$D:$D,'Modelling New'!$O:$O),"")</f>
        <v>0.73158446710143066</v>
      </c>
      <c r="AF70" s="234">
        <f>IFERROR(_xlfn.XLOOKUP($D70,'Modelling New'!$D:$D,'Modelling New'!$W:$W),"")</f>
        <v>0.15617296193540262</v>
      </c>
      <c r="AG70" s="234">
        <f>IFERROR(_xlfn.XLOOKUP($D70,'Modelling New'!$D:$D,'Modelling New'!AE:AE),"")</f>
        <v>0.995</v>
      </c>
      <c r="AH70" s="234">
        <v>0.99750000000000005</v>
      </c>
      <c r="AI70" s="6"/>
      <c r="AJ70" s="6"/>
      <c r="AK70" s="6"/>
      <c r="AL70" s="6"/>
      <c r="AM70" s="6"/>
      <c r="AN70" s="231"/>
      <c r="AO70" s="234"/>
      <c r="AP70" s="234"/>
      <c r="AQ70" s="234"/>
      <c r="AR70" s="227">
        <f>IFERROR(_xlfn.XLOOKUP($D70,'Modelling New'!$D:$D,'Modelling New'!$N:$N),"")</f>
        <v>24.303100000000001</v>
      </c>
      <c r="AS70" s="227"/>
    </row>
    <row r="71" spans="1:45" x14ac:dyDescent="0.35">
      <c r="A71" s="226">
        <f t="shared" si="5"/>
        <v>45814</v>
      </c>
      <c r="B71" s="227">
        <f>YEAR(Daily_KPI[[#This Row],[Date]])+IF(MONTH(Daily_KPI[[#This Row],[Date]])&gt;=4,1,0)</f>
        <v>2026</v>
      </c>
      <c r="C71" s="6">
        <f>YEAR(Daily_KPI[[#This Row],[Date]])</f>
        <v>2025</v>
      </c>
      <c r="D71" s="228">
        <f>Daily_KPI[[#This Row],[Date]]-DAY(Daily_KPI[[#This Row],[Date]])+1</f>
        <v>45809</v>
      </c>
      <c r="E71" s="6">
        <f t="shared" si="7"/>
        <v>30</v>
      </c>
      <c r="F71" s="229">
        <f>IFERROR(_xlfn.XLOOKUP($A71,'Raw Data'!$A:$A,'Raw Data'!$BR:$BR),"")</f>
        <v>12.483333333333334</v>
      </c>
      <c r="G71" s="230">
        <f>IFERROR(_xlfn.XLOOKUP($A71,'Raw Data'!$A:$A,'Raw Data'!$AO:$AO),"")</f>
        <v>0</v>
      </c>
      <c r="H71" s="230"/>
      <c r="I71" s="230">
        <f>IFERROR(_xlfn.XLOOKUP($A71,'Raw Data'!$A:$A,'Raw Data'!$AR:$AR),"")</f>
        <v>6.4685247116968689</v>
      </c>
      <c r="J71" s="230"/>
      <c r="K71" s="230">
        <f>IFERROR(_xlfn.XLOOKUP($A71,'Raw Data'!$A:$A,'Raw Data'!$AV:$AV),"")</f>
        <v>0</v>
      </c>
      <c r="L71" s="230">
        <f>IFERROR(_xlfn.XLOOKUP($A71,'Raw Data'!$A:$A,'Raw Data'!$AW:$AW),"")</f>
        <v>0</v>
      </c>
      <c r="M71" s="230">
        <f>IFERROR(_xlfn.XLOOKUP($A71,'Raw Data'!$A:$A,'Raw Data'!$AX:$AX),"")</f>
        <v>0</v>
      </c>
      <c r="N71" s="230">
        <f>IFERROR(_xlfn.XLOOKUP($A71,'Raw Data'!$A:$A,'Raw Data'!$AY:$AY),"")</f>
        <v>0</v>
      </c>
      <c r="O71" s="231">
        <f>IFERROR(1-(SUMIF('Plant BD'!$B:$B,A71,'Plant BD'!$AE:$AE)/(AA71+SUMIF('Plant BD'!$B:$B,A71,'Plant BD'!$AE:$AE))),"")</f>
        <v>0.95442609798491018</v>
      </c>
      <c r="P71" s="231"/>
      <c r="Q71" s="232"/>
      <c r="R71" s="231">
        <f>IFERROR(1-(SUMIF('Grid BD'!$B:$B,$A71,'Grid BD'!$AD:$AD)/($AA71+SUMIF('Grid BD'!$B:$B,$A71,'Grid BD'!AD:AD))),"")</f>
        <v>1</v>
      </c>
      <c r="S71" s="6"/>
      <c r="T71" s="232"/>
      <c r="U71" s="233">
        <f t="shared" si="4"/>
        <v>0.76911786476221222</v>
      </c>
      <c r="V71" s="233"/>
      <c r="W71" s="234">
        <f t="shared" si="6"/>
        <v>0.20729407976757916</v>
      </c>
      <c r="X71" s="227">
        <f>IFERROR(_xlfn.XLOOKUP($A71,'Raw Data'!$A:$A,'Raw Data'!$BA:$BA),"")</f>
        <v>122687</v>
      </c>
      <c r="Y71" s="227">
        <f>IFERROR(_xlfn.XLOOKUP($A71,'Raw Data'!$A:$A,'Raw Data'!BJ:BJ),"")</f>
        <v>121679.37999998685</v>
      </c>
      <c r="Z71" s="227">
        <f>IFERROR(_xlfn.XLOOKUP($A71,'Raw Data'!$A:$A,'Raw Data'!BK:BK),"")</f>
        <v>770.04999999996926</v>
      </c>
      <c r="AA71" s="227">
        <f>IFERROR(_xlfn.XLOOKUP($A71,'Raw Data'!$A:$A,'Raw Data'!BL:BL),"")</f>
        <v>120909.32999998688</v>
      </c>
      <c r="AB71" s="227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27">
        <f>IFERROR(_xlfn.XLOOKUP($D71,'Modelling New'!$D:$D,'Modelling New'!$T:$T)*1000,"")</f>
        <v>91091.690669094809</v>
      </c>
      <c r="AE71" s="234">
        <f>IFERROR(_xlfn.XLOOKUP($D71,'Modelling New'!$D:$D,'Modelling New'!$O:$O),"")</f>
        <v>0.73158446710143066</v>
      </c>
      <c r="AF71" s="234">
        <f>IFERROR(_xlfn.XLOOKUP($D71,'Modelling New'!$D:$D,'Modelling New'!$W:$W),"")</f>
        <v>0.15617296193540262</v>
      </c>
      <c r="AG71" s="234">
        <f>IFERROR(_xlfn.XLOOKUP($D71,'Modelling New'!$D:$D,'Modelling New'!AE:AE),"")</f>
        <v>0.995</v>
      </c>
      <c r="AH71" s="234">
        <v>0.99750000000000005</v>
      </c>
      <c r="AI71" s="6"/>
      <c r="AJ71" s="6"/>
      <c r="AK71" s="6"/>
      <c r="AL71" s="6"/>
      <c r="AM71" s="6"/>
      <c r="AN71" s="231"/>
      <c r="AO71" s="234"/>
      <c r="AP71" s="234"/>
      <c r="AQ71" s="234"/>
      <c r="AR71" s="227">
        <f>IFERROR(_xlfn.XLOOKUP($D71,'Modelling New'!$D:$D,'Modelling New'!$N:$N),"")</f>
        <v>24.303100000000001</v>
      </c>
      <c r="AS71" s="227"/>
    </row>
    <row r="72" spans="1:45" x14ac:dyDescent="0.35">
      <c r="A72" s="226">
        <f t="shared" si="5"/>
        <v>45815</v>
      </c>
      <c r="B72" s="227">
        <f>YEAR(Daily_KPI[[#This Row],[Date]])+IF(MONTH(Daily_KPI[[#This Row],[Date]])&gt;=4,1,0)</f>
        <v>2026</v>
      </c>
      <c r="C72" s="6">
        <f>YEAR(Daily_KPI[[#This Row],[Date]])</f>
        <v>2025</v>
      </c>
      <c r="D72" s="228">
        <f>Daily_KPI[[#This Row],[Date]]-DAY(Daily_KPI[[#This Row],[Date]])+1</f>
        <v>45809</v>
      </c>
      <c r="E72" s="6">
        <f t="shared" si="7"/>
        <v>30</v>
      </c>
      <c r="F72" s="229">
        <f>IFERROR(_xlfn.XLOOKUP($A72,'Raw Data'!$A:$A,'Raw Data'!$BR:$BR),"")</f>
        <v>12.433333333333334</v>
      </c>
      <c r="G72" s="230">
        <f>IFERROR(_xlfn.XLOOKUP($A72,'Raw Data'!$A:$A,'Raw Data'!$AO:$AO),"")</f>
        <v>0</v>
      </c>
      <c r="H72" s="230"/>
      <c r="I72" s="230">
        <f>IFERROR(_xlfn.XLOOKUP($A72,'Raw Data'!$A:$A,'Raw Data'!$AR:$AR),"")</f>
        <v>6.2376357495881383</v>
      </c>
      <c r="J72" s="230"/>
      <c r="K72" s="230">
        <f>IFERROR(_xlfn.XLOOKUP($A72,'Raw Data'!$A:$A,'Raw Data'!$AV:$AV),"")</f>
        <v>0</v>
      </c>
      <c r="L72" s="230">
        <f>IFERROR(_xlfn.XLOOKUP($A72,'Raw Data'!$A:$A,'Raw Data'!$AW:$AW),"")</f>
        <v>0</v>
      </c>
      <c r="M72" s="230">
        <f>IFERROR(_xlfn.XLOOKUP($A72,'Raw Data'!$A:$A,'Raw Data'!$AX:$AX),"")</f>
        <v>0</v>
      </c>
      <c r="N72" s="230">
        <f>IFERROR(_xlfn.XLOOKUP($A72,'Raw Data'!$A:$A,'Raw Data'!$AY:$AY),"")</f>
        <v>0</v>
      </c>
      <c r="O72" s="231">
        <f>IFERROR(1-(SUMIF('Plant BD'!$B:$B,A72,'Plant BD'!$AE:$AE)/(AA72+SUMIF('Plant BD'!$B:$B,A72,'Plant BD'!$AE:$AE))),"")</f>
        <v>0.93357351021657387</v>
      </c>
      <c r="P72" s="231"/>
      <c r="Q72" s="232"/>
      <c r="R72" s="231">
        <f>IFERROR(1-(SUMIF('Grid BD'!$B:$B,$A72,'Grid BD'!$AD:$AD)/($AA72+SUMIF('Grid BD'!$B:$B,$A72,'Grid BD'!AD:AD))),"")</f>
        <v>1</v>
      </c>
      <c r="S72" s="6"/>
      <c r="T72" s="232"/>
      <c r="U72" s="233">
        <f t="shared" si="4"/>
        <v>0.76195289609493289</v>
      </c>
      <c r="V72" s="233"/>
      <c r="W72" s="234">
        <f t="shared" si="6"/>
        <v>0.19803269267433204</v>
      </c>
      <c r="X72" s="227">
        <f>IFERROR(_xlfn.XLOOKUP($A72,'Raw Data'!$A:$A,'Raw Data'!$BA:$BA),"")</f>
        <v>117491</v>
      </c>
      <c r="Y72" s="227">
        <f>IFERROR(_xlfn.XLOOKUP($A72,'Raw Data'!$A:$A,'Raw Data'!BJ:BJ),"")</f>
        <v>116494.60000000545</v>
      </c>
      <c r="Z72" s="227">
        <f>IFERROR(_xlfn.XLOOKUP($A72,'Raw Data'!$A:$A,'Raw Data'!BK:BK),"")</f>
        <v>987.20000000002983</v>
      </c>
      <c r="AA72" s="227">
        <f>IFERROR(_xlfn.XLOOKUP($A72,'Raw Data'!$A:$A,'Raw Data'!BL:BL),"")</f>
        <v>115507.40000000542</v>
      </c>
      <c r="AB72" s="227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27">
        <f>IFERROR(_xlfn.XLOOKUP($D72,'Modelling New'!$D:$D,'Modelling New'!$T:$T)*1000,"")</f>
        <v>91091.690669094809</v>
      </c>
      <c r="AE72" s="234">
        <f>IFERROR(_xlfn.XLOOKUP($D72,'Modelling New'!$D:$D,'Modelling New'!$O:$O),"")</f>
        <v>0.73158446710143066</v>
      </c>
      <c r="AF72" s="234">
        <f>IFERROR(_xlfn.XLOOKUP($D72,'Modelling New'!$D:$D,'Modelling New'!$W:$W),"")</f>
        <v>0.15617296193540262</v>
      </c>
      <c r="AG72" s="234">
        <f>IFERROR(_xlfn.XLOOKUP($D72,'Modelling New'!$D:$D,'Modelling New'!AE:AE),"")</f>
        <v>0.995</v>
      </c>
      <c r="AH72" s="234">
        <v>0.99750000000000005</v>
      </c>
      <c r="AI72" s="6"/>
      <c r="AJ72" s="6"/>
      <c r="AK72" s="6"/>
      <c r="AL72" s="6"/>
      <c r="AM72" s="6"/>
      <c r="AN72" s="231"/>
      <c r="AO72" s="234"/>
      <c r="AP72" s="234"/>
      <c r="AQ72" s="234"/>
      <c r="AR72" s="227">
        <f>IFERROR(_xlfn.XLOOKUP($D72,'Modelling New'!$D:$D,'Modelling New'!$N:$N),"")</f>
        <v>24.303100000000001</v>
      </c>
      <c r="AS72" s="227"/>
    </row>
    <row r="73" spans="1:45" x14ac:dyDescent="0.35">
      <c r="A73" s="226">
        <f t="shared" si="5"/>
        <v>45816</v>
      </c>
      <c r="B73" s="227">
        <f>YEAR(Daily_KPI[[#This Row],[Date]])+IF(MONTH(Daily_KPI[[#This Row],[Date]])&gt;=4,1,0)</f>
        <v>2026</v>
      </c>
      <c r="C73" s="6">
        <f>YEAR(Daily_KPI[[#This Row],[Date]])</f>
        <v>2025</v>
      </c>
      <c r="D73" s="228">
        <f>Daily_KPI[[#This Row],[Date]]-DAY(Daily_KPI[[#This Row],[Date]])+1</f>
        <v>45809</v>
      </c>
      <c r="E73" s="6">
        <f t="shared" si="7"/>
        <v>30</v>
      </c>
      <c r="F73" s="229">
        <f>IFERROR(_xlfn.XLOOKUP($A73,'Raw Data'!$A:$A,'Raw Data'!$BR:$BR),"")</f>
        <v>12.266666666666666</v>
      </c>
      <c r="G73" s="230">
        <f>IFERROR(_xlfn.XLOOKUP($A73,'Raw Data'!$A:$A,'Raw Data'!$AO:$AO),"")</f>
        <v>0</v>
      </c>
      <c r="H73" s="230"/>
      <c r="I73" s="230">
        <f>IFERROR(_xlfn.XLOOKUP($A73,'Raw Data'!$A:$A,'Raw Data'!$AR:$AR),"")</f>
        <v>6.7246372734761106</v>
      </c>
      <c r="J73" s="230"/>
      <c r="K73" s="230">
        <f>IFERROR(_xlfn.XLOOKUP($A73,'Raw Data'!$A:$A,'Raw Data'!$AV:$AV),"")</f>
        <v>0</v>
      </c>
      <c r="L73" s="230">
        <f>IFERROR(_xlfn.XLOOKUP($A73,'Raw Data'!$A:$A,'Raw Data'!$AW:$AW),"")</f>
        <v>0</v>
      </c>
      <c r="M73" s="230">
        <f>IFERROR(_xlfn.XLOOKUP($A73,'Raw Data'!$A:$A,'Raw Data'!$AX:$AX),"")</f>
        <v>0</v>
      </c>
      <c r="N73" s="230">
        <f>IFERROR(_xlfn.XLOOKUP($A73,'Raw Data'!$A:$A,'Raw Data'!$AY:$AY),"")</f>
        <v>0</v>
      </c>
      <c r="O73" s="231">
        <f>IFERROR(1-(SUMIF('Plant BD'!$B:$B,A73,'Plant BD'!$AE:$AE)/(AA73+SUMIF('Plant BD'!$B:$B,A73,'Plant BD'!$AE:$AE))),"")</f>
        <v>0.95411071268398095</v>
      </c>
      <c r="P73" s="231"/>
      <c r="Q73" s="232"/>
      <c r="R73" s="231">
        <f>IFERROR(1-(SUMIF('Grid BD'!$B:$B,$A73,'Grid BD'!$AD:$AD)/($AA73+SUMIF('Grid BD'!$B:$B,$A73,'Grid BD'!AD:AD))),"")</f>
        <v>1</v>
      </c>
      <c r="S73" s="6"/>
      <c r="T73" s="232"/>
      <c r="U73" s="233">
        <f t="shared" si="4"/>
        <v>0.76907336372298407</v>
      </c>
      <c r="V73" s="233"/>
      <c r="W73" s="234">
        <f t="shared" si="6"/>
        <v>0.21548914198871782</v>
      </c>
      <c r="X73" s="227">
        <f>IFERROR(_xlfn.XLOOKUP($A73,'Raw Data'!$A:$A,'Raw Data'!$BA:$BA),"")</f>
        <v>127583</v>
      </c>
      <c r="Y73" s="227">
        <f>IFERROR(_xlfn.XLOOKUP($A73,'Raw Data'!$A:$A,'Raw Data'!BJ:BJ),"")</f>
        <v>126520.49999998417</v>
      </c>
      <c r="Z73" s="227">
        <f>IFERROR(_xlfn.XLOOKUP($A73,'Raw Data'!$A:$A,'Raw Data'!BK:BK),"")</f>
        <v>831.19999999996708</v>
      </c>
      <c r="AA73" s="227">
        <f>IFERROR(_xlfn.XLOOKUP($A73,'Raw Data'!$A:$A,'Raw Data'!BL:BL),"")</f>
        <v>125689.2999999842</v>
      </c>
      <c r="AB73" s="227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27">
        <f>IFERROR(_xlfn.XLOOKUP($D73,'Modelling New'!$D:$D,'Modelling New'!$T:$T)*1000,"")</f>
        <v>91091.690669094809</v>
      </c>
      <c r="AE73" s="234">
        <f>IFERROR(_xlfn.XLOOKUP($D73,'Modelling New'!$D:$D,'Modelling New'!$O:$O),"")</f>
        <v>0.73158446710143066</v>
      </c>
      <c r="AF73" s="234">
        <f>IFERROR(_xlfn.XLOOKUP($D73,'Modelling New'!$D:$D,'Modelling New'!$W:$W),"")</f>
        <v>0.15617296193540262</v>
      </c>
      <c r="AG73" s="234">
        <f>IFERROR(_xlfn.XLOOKUP($D73,'Modelling New'!$D:$D,'Modelling New'!AE:AE),"")</f>
        <v>0.995</v>
      </c>
      <c r="AH73" s="234">
        <v>0.99750000000000005</v>
      </c>
      <c r="AI73" s="6"/>
      <c r="AJ73" s="6"/>
      <c r="AK73" s="6"/>
      <c r="AL73" s="6"/>
      <c r="AM73" s="6"/>
      <c r="AN73" s="231"/>
      <c r="AO73" s="234"/>
      <c r="AP73" s="234"/>
      <c r="AQ73" s="234"/>
      <c r="AR73" s="227">
        <f>IFERROR(_xlfn.XLOOKUP($D73,'Modelling New'!$D:$D,'Modelling New'!$N:$N),"")</f>
        <v>24.303100000000001</v>
      </c>
      <c r="AS73" s="227"/>
    </row>
    <row r="74" spans="1:45" x14ac:dyDescent="0.35">
      <c r="A74" s="226">
        <f t="shared" si="5"/>
        <v>45817</v>
      </c>
      <c r="B74" s="227">
        <f>YEAR(Daily_KPI[[#This Row],[Date]])+IF(MONTH(Daily_KPI[[#This Row],[Date]])&gt;=4,1,0)</f>
        <v>2026</v>
      </c>
      <c r="C74" s="6">
        <f>YEAR(Daily_KPI[[#This Row],[Date]])</f>
        <v>2025</v>
      </c>
      <c r="D74" s="228">
        <f>Daily_KPI[[#This Row],[Date]]-DAY(Daily_KPI[[#This Row],[Date]])+1</f>
        <v>45809</v>
      </c>
      <c r="E74" s="6">
        <f t="shared" si="7"/>
        <v>30</v>
      </c>
      <c r="F74" s="229">
        <f>IFERROR(_xlfn.XLOOKUP($A74,'Raw Data'!$A:$A,'Raw Data'!$BR:$BR),"")</f>
        <v>12.616666666666667</v>
      </c>
      <c r="G74" s="230">
        <f>IFERROR(_xlfn.XLOOKUP($A74,'Raw Data'!$A:$A,'Raw Data'!$AO:$AO),"")</f>
        <v>0</v>
      </c>
      <c r="H74" s="230"/>
      <c r="I74" s="230">
        <f>IFERROR(_xlfn.XLOOKUP($A74,'Raw Data'!$A:$A,'Raw Data'!$AR:$AR),"")</f>
        <v>6.0332562602965396</v>
      </c>
      <c r="J74" s="230"/>
      <c r="K74" s="230">
        <f>IFERROR(_xlfn.XLOOKUP($A74,'Raw Data'!$A:$A,'Raw Data'!$AV:$AV),"")</f>
        <v>0</v>
      </c>
      <c r="L74" s="230">
        <f>IFERROR(_xlfn.XLOOKUP($A74,'Raw Data'!$A:$A,'Raw Data'!$AW:$AW),"")</f>
        <v>0</v>
      </c>
      <c r="M74" s="230">
        <f>IFERROR(_xlfn.XLOOKUP($A74,'Raw Data'!$A:$A,'Raw Data'!$AX:$AX),"")</f>
        <v>0</v>
      </c>
      <c r="N74" s="230">
        <f>IFERROR(_xlfn.XLOOKUP($A74,'Raw Data'!$A:$A,'Raw Data'!$AY:$AY),"")</f>
        <v>0</v>
      </c>
      <c r="O74" s="231">
        <f>IFERROR(1-(SUMIF('Plant BD'!$B:$B,A74,'Plant BD'!$AE:$AE)/(AA74+SUMIF('Plant BD'!$B:$B,A74,'Plant BD'!$AE:$AE))),"")</f>
        <v>0.93419402238519789</v>
      </c>
      <c r="P74" s="231"/>
      <c r="Q74" s="232"/>
      <c r="R74" s="231">
        <f>IFERROR(1-(SUMIF('Grid BD'!$B:$B,$A74,'Grid BD'!$AD:$AD)/($AA74+SUMIF('Grid BD'!$B:$B,$A74,'Grid BD'!AD:AD))),"")</f>
        <v>1</v>
      </c>
      <c r="S74" s="6"/>
      <c r="T74" s="232"/>
      <c r="U74" s="233">
        <f t="shared" si="4"/>
        <v>0.77190715935479193</v>
      </c>
      <c r="V74" s="233"/>
      <c r="W74" s="234">
        <f t="shared" si="6"/>
        <v>0.19404640423104236</v>
      </c>
      <c r="X74" s="227">
        <f>IFERROR(_xlfn.XLOOKUP($A74,'Raw Data'!$A:$A,'Raw Data'!$BA:$BA),"")</f>
        <v>114801</v>
      </c>
      <c r="Y74" s="227">
        <f>IFERROR(_xlfn.XLOOKUP($A74,'Raw Data'!$A:$A,'Raw Data'!BJ:BJ),"")</f>
        <v>114082.50000001863</v>
      </c>
      <c r="Z74" s="227">
        <f>IFERROR(_xlfn.XLOOKUP($A74,'Raw Data'!$A:$A,'Raw Data'!BK:BK),"")</f>
        <v>900.19999999992706</v>
      </c>
      <c r="AA74" s="227">
        <f>IFERROR(_xlfn.XLOOKUP($A74,'Raw Data'!$A:$A,'Raw Data'!BL:BL),"")</f>
        <v>113182.3000000187</v>
      </c>
      <c r="AB74" s="227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27">
        <f>IFERROR(_xlfn.XLOOKUP($D74,'Modelling New'!$D:$D,'Modelling New'!$T:$T)*1000,"")</f>
        <v>91091.690669094809</v>
      </c>
      <c r="AE74" s="234">
        <f>IFERROR(_xlfn.XLOOKUP($D74,'Modelling New'!$D:$D,'Modelling New'!$O:$O),"")</f>
        <v>0.73158446710143066</v>
      </c>
      <c r="AF74" s="234">
        <f>IFERROR(_xlfn.XLOOKUP($D74,'Modelling New'!$D:$D,'Modelling New'!$W:$W),"")</f>
        <v>0.15617296193540262</v>
      </c>
      <c r="AG74" s="234">
        <f>IFERROR(_xlfn.XLOOKUP($D74,'Modelling New'!$D:$D,'Modelling New'!AE:AE),"")</f>
        <v>0.995</v>
      </c>
      <c r="AH74" s="234">
        <v>0.99750000000000005</v>
      </c>
      <c r="AI74" s="6"/>
      <c r="AJ74" s="6"/>
      <c r="AK74" s="6"/>
      <c r="AL74" s="6"/>
      <c r="AM74" s="6"/>
      <c r="AN74" s="231"/>
      <c r="AO74" s="234"/>
      <c r="AP74" s="234"/>
      <c r="AQ74" s="234"/>
      <c r="AR74" s="227">
        <f>IFERROR(_xlfn.XLOOKUP($D74,'Modelling New'!$D:$D,'Modelling New'!$N:$N),"")</f>
        <v>24.303100000000001</v>
      </c>
      <c r="AS74" s="227"/>
    </row>
    <row r="75" spans="1:45" x14ac:dyDescent="0.35">
      <c r="A75" s="226">
        <f t="shared" si="5"/>
        <v>45818</v>
      </c>
      <c r="B75" s="227">
        <f>YEAR(Daily_KPI[[#This Row],[Date]])+IF(MONTH(Daily_KPI[[#This Row],[Date]])&gt;=4,1,0)</f>
        <v>2026</v>
      </c>
      <c r="C75" s="6">
        <f>YEAR(Daily_KPI[[#This Row],[Date]])</f>
        <v>2025</v>
      </c>
      <c r="D75" s="228">
        <f>Daily_KPI[[#This Row],[Date]]-DAY(Daily_KPI[[#This Row],[Date]])+1</f>
        <v>45809</v>
      </c>
      <c r="E75" s="6">
        <f t="shared" si="7"/>
        <v>30</v>
      </c>
      <c r="F75" s="229">
        <f>IFERROR(_xlfn.XLOOKUP($A75,'Raw Data'!$A:$A,'Raw Data'!$BR:$BR),"")</f>
        <v>12.366666666666665</v>
      </c>
      <c r="G75" s="230">
        <f>IFERROR(_xlfn.XLOOKUP($A75,'Raw Data'!$A:$A,'Raw Data'!$AO:$AO),"")</f>
        <v>0</v>
      </c>
      <c r="H75" s="230"/>
      <c r="I75" s="230">
        <f>IFERROR(_xlfn.XLOOKUP($A75,'Raw Data'!$A:$A,'Raw Data'!$AR:$AR),"")</f>
        <v>2.2898965815485992</v>
      </c>
      <c r="J75" s="230"/>
      <c r="K75" s="230">
        <f>IFERROR(_xlfn.XLOOKUP($A75,'Raw Data'!$A:$A,'Raw Data'!$AV:$AV),"")</f>
        <v>0</v>
      </c>
      <c r="L75" s="230">
        <f>IFERROR(_xlfn.XLOOKUP($A75,'Raw Data'!$A:$A,'Raw Data'!$AW:$AW),"")</f>
        <v>0</v>
      </c>
      <c r="M75" s="230">
        <f>IFERROR(_xlfn.XLOOKUP($A75,'Raw Data'!$A:$A,'Raw Data'!$AX:$AX),"")</f>
        <v>0</v>
      </c>
      <c r="N75" s="230">
        <f>IFERROR(_xlfn.XLOOKUP($A75,'Raw Data'!$A:$A,'Raw Data'!$AY:$AY),"")</f>
        <v>0</v>
      </c>
      <c r="O75" s="231">
        <f>IFERROR(1-(SUMIF('Plant BD'!$B:$B,A75,'Plant BD'!$AE:$AE)/(AA75+SUMIF('Plant BD'!$B:$B,A75,'Plant BD'!$AE:$AE))),"")</f>
        <v>0.95593850583558915</v>
      </c>
      <c r="P75" s="231"/>
      <c r="Q75" s="232"/>
      <c r="R75" s="231">
        <f>IFERROR(1-(SUMIF('Grid BD'!$B:$B,$A75,'Grid BD'!$AD:$AD)/($AA75+SUMIF('Grid BD'!$B:$B,$A75,'Grid BD'!AD:AD))),"")</f>
        <v>1</v>
      </c>
      <c r="S75" s="6"/>
      <c r="T75" s="232"/>
      <c r="U75" s="233">
        <f t="shared" si="4"/>
        <v>0.80229519985379227</v>
      </c>
      <c r="V75" s="233"/>
      <c r="W75" s="234">
        <f t="shared" si="6"/>
        <v>7.6548876480752051E-2</v>
      </c>
      <c r="X75" s="227">
        <f>IFERROR(_xlfn.XLOOKUP($A75,'Raw Data'!$A:$A,'Raw Data'!$BA:$BA),"")</f>
        <v>45003</v>
      </c>
      <c r="Y75" s="227">
        <f>IFERROR(_xlfn.XLOOKUP($A75,'Raw Data'!$A:$A,'Raw Data'!BJ:BJ),"")</f>
        <v>45582.399999984773</v>
      </c>
      <c r="Z75" s="227">
        <f>IFERROR(_xlfn.XLOOKUP($A75,'Raw Data'!$A:$A,'Raw Data'!BK:BK),"")</f>
        <v>933.400000000006</v>
      </c>
      <c r="AA75" s="227">
        <f>IFERROR(_xlfn.XLOOKUP($A75,'Raw Data'!$A:$A,'Raw Data'!BL:BL),"")</f>
        <v>44648.999999984764</v>
      </c>
      <c r="AB75" s="227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27">
        <f>IFERROR(_xlfn.XLOOKUP($D75,'Modelling New'!$D:$D,'Modelling New'!$T:$T)*1000,"")</f>
        <v>91091.690669094809</v>
      </c>
      <c r="AE75" s="234">
        <f>IFERROR(_xlfn.XLOOKUP($D75,'Modelling New'!$D:$D,'Modelling New'!$O:$O),"")</f>
        <v>0.73158446710143066</v>
      </c>
      <c r="AF75" s="234">
        <f>IFERROR(_xlfn.XLOOKUP($D75,'Modelling New'!$D:$D,'Modelling New'!$W:$W),"")</f>
        <v>0.15617296193540262</v>
      </c>
      <c r="AG75" s="234">
        <f>IFERROR(_xlfn.XLOOKUP($D75,'Modelling New'!$D:$D,'Modelling New'!AE:AE),"")</f>
        <v>0.995</v>
      </c>
      <c r="AH75" s="234">
        <v>0.99750000000000005</v>
      </c>
      <c r="AI75" s="6"/>
      <c r="AJ75" s="6"/>
      <c r="AK75" s="6"/>
      <c r="AL75" s="6"/>
      <c r="AM75" s="6"/>
      <c r="AN75" s="231"/>
      <c r="AO75" s="234"/>
      <c r="AP75" s="234"/>
      <c r="AQ75" s="234"/>
      <c r="AR75" s="227">
        <f>IFERROR(_xlfn.XLOOKUP($D75,'Modelling New'!$D:$D,'Modelling New'!$N:$N),"")</f>
        <v>24.303100000000001</v>
      </c>
      <c r="AS75" s="227"/>
    </row>
    <row r="76" spans="1:45" x14ac:dyDescent="0.35">
      <c r="A76" s="226">
        <f t="shared" si="5"/>
        <v>45819</v>
      </c>
      <c r="B76" s="227">
        <f>YEAR(Daily_KPI[[#This Row],[Date]])+IF(MONTH(Daily_KPI[[#This Row],[Date]])&gt;=4,1,0)</f>
        <v>2026</v>
      </c>
      <c r="C76" s="6">
        <f>YEAR(Daily_KPI[[#This Row],[Date]])</f>
        <v>2025</v>
      </c>
      <c r="D76" s="228">
        <f>Daily_KPI[[#This Row],[Date]]-DAY(Daily_KPI[[#This Row],[Date]])+1</f>
        <v>45809</v>
      </c>
      <c r="E76" s="6">
        <f t="shared" si="7"/>
        <v>30</v>
      </c>
      <c r="F76" s="229">
        <f>IFERROR(_xlfn.XLOOKUP($A76,'Raw Data'!$A:$A,'Raw Data'!$BR:$BR),"")</f>
        <v>11.633333333333333</v>
      </c>
      <c r="G76" s="230">
        <f>IFERROR(_xlfn.XLOOKUP($A76,'Raw Data'!$A:$A,'Raw Data'!$AO:$AO),"")</f>
        <v>0</v>
      </c>
      <c r="H76" s="230"/>
      <c r="I76" s="230">
        <f>IFERROR(_xlfn.XLOOKUP($A76,'Raw Data'!$A:$A,'Raw Data'!$AR:$AR),"")</f>
        <v>1.7171079901153212</v>
      </c>
      <c r="J76" s="230"/>
      <c r="K76" s="230">
        <f>IFERROR(_xlfn.XLOOKUP($A76,'Raw Data'!$A:$A,'Raw Data'!$AV:$AV),"")</f>
        <v>0</v>
      </c>
      <c r="L76" s="230">
        <f>IFERROR(_xlfn.XLOOKUP($A76,'Raw Data'!$A:$A,'Raw Data'!$AW:$AW),"")</f>
        <v>0</v>
      </c>
      <c r="M76" s="230">
        <f>IFERROR(_xlfn.XLOOKUP($A76,'Raw Data'!$A:$A,'Raw Data'!$AX:$AX),"")</f>
        <v>0</v>
      </c>
      <c r="N76" s="230">
        <f>IFERROR(_xlfn.XLOOKUP($A76,'Raw Data'!$A:$A,'Raw Data'!$AY:$AY),"")</f>
        <v>0</v>
      </c>
      <c r="O76" s="231">
        <f>IFERROR(1-(SUMIF('Plant BD'!$B:$B,A76,'Plant BD'!$AE:$AE)/(AA76+SUMIF('Plant BD'!$B:$B,A76,'Plant BD'!$AE:$AE))),"")</f>
        <v>0.95566329446302056</v>
      </c>
      <c r="P76" s="231"/>
      <c r="Q76" s="232"/>
      <c r="R76" s="231">
        <f>IFERROR(1-(SUMIF('Grid BD'!$B:$B,$A76,'Grid BD'!$AD:$AD)/($AA76+SUMIF('Grid BD'!$B:$B,$A76,'Grid BD'!AD:AD))),"")</f>
        <v>1</v>
      </c>
      <c r="S76" s="6"/>
      <c r="T76" s="232"/>
      <c r="U76" s="233">
        <f t="shared" si="4"/>
        <v>0.80115650690793361</v>
      </c>
      <c r="V76" s="233"/>
      <c r="W76" s="234">
        <f t="shared" si="6"/>
        <v>5.7319676639353882E-2</v>
      </c>
      <c r="X76" s="227">
        <f>IFERROR(_xlfn.XLOOKUP($A76,'Raw Data'!$A:$A,'Raw Data'!$BA:$BA),"")</f>
        <v>33831</v>
      </c>
      <c r="Y76" s="227">
        <f>IFERROR(_xlfn.XLOOKUP($A76,'Raw Data'!$A:$A,'Raw Data'!BJ:BJ),"")</f>
        <v>34366.700000013225</v>
      </c>
      <c r="Z76" s="227">
        <f>IFERROR(_xlfn.XLOOKUP($A76,'Raw Data'!$A:$A,'Raw Data'!BK:BK),"")</f>
        <v>933.60000000006949</v>
      </c>
      <c r="AA76" s="227">
        <f>IFERROR(_xlfn.XLOOKUP($A76,'Raw Data'!$A:$A,'Raw Data'!BL:BL),"")</f>
        <v>33433.100000013153</v>
      </c>
      <c r="AB76" s="227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27">
        <f>IFERROR(_xlfn.XLOOKUP($D76,'Modelling New'!$D:$D,'Modelling New'!$T:$T)*1000,"")</f>
        <v>91091.690669094809</v>
      </c>
      <c r="AE76" s="234">
        <f>IFERROR(_xlfn.XLOOKUP($D76,'Modelling New'!$D:$D,'Modelling New'!$O:$O),"")</f>
        <v>0.73158446710143066</v>
      </c>
      <c r="AF76" s="234">
        <f>IFERROR(_xlfn.XLOOKUP($D76,'Modelling New'!$D:$D,'Modelling New'!$W:$W),"")</f>
        <v>0.15617296193540262</v>
      </c>
      <c r="AG76" s="234">
        <f>IFERROR(_xlfn.XLOOKUP($D76,'Modelling New'!$D:$D,'Modelling New'!AE:AE),"")</f>
        <v>0.995</v>
      </c>
      <c r="AH76" s="234">
        <v>0.99750000000000005</v>
      </c>
      <c r="AI76" s="6"/>
      <c r="AJ76" s="6"/>
      <c r="AK76" s="6"/>
      <c r="AL76" s="6"/>
      <c r="AM76" s="6"/>
      <c r="AN76" s="231"/>
      <c r="AO76" s="234"/>
      <c r="AP76" s="234"/>
      <c r="AQ76" s="234"/>
      <c r="AR76" s="227">
        <f>IFERROR(_xlfn.XLOOKUP($D76,'Modelling New'!$D:$D,'Modelling New'!$N:$N),"")</f>
        <v>24.303100000000001</v>
      </c>
      <c r="AS76" s="227"/>
    </row>
    <row r="77" spans="1:45" x14ac:dyDescent="0.35">
      <c r="A77" s="226">
        <f t="shared" si="5"/>
        <v>45820</v>
      </c>
      <c r="B77" s="227">
        <f>YEAR(Daily_KPI[[#This Row],[Date]])+IF(MONTH(Daily_KPI[[#This Row],[Date]])&gt;=4,1,0)</f>
        <v>2026</v>
      </c>
      <c r="C77" s="6">
        <f>YEAR(Daily_KPI[[#This Row],[Date]])</f>
        <v>2025</v>
      </c>
      <c r="D77" s="228">
        <f>Daily_KPI[[#This Row],[Date]]-DAY(Daily_KPI[[#This Row],[Date]])+1</f>
        <v>45809</v>
      </c>
      <c r="E77" s="6">
        <f t="shared" si="7"/>
        <v>30</v>
      </c>
      <c r="F77" s="229">
        <f>IFERROR(_xlfn.XLOOKUP($A77,'Raw Data'!$A:$A,'Raw Data'!$BR:$BR),"")</f>
        <v>11.100000000000001</v>
      </c>
      <c r="G77" s="230">
        <f>IFERROR(_xlfn.XLOOKUP($A77,'Raw Data'!$A:$A,'Raw Data'!$AO:$AO),"")</f>
        <v>0</v>
      </c>
      <c r="H77" s="230"/>
      <c r="I77" s="230">
        <f>IFERROR(_xlfn.XLOOKUP($A77,'Raw Data'!$A:$A,'Raw Data'!$AR:$AR),"")</f>
        <v>4.1717452635914327</v>
      </c>
      <c r="J77" s="230"/>
      <c r="K77" s="230">
        <f>IFERROR(_xlfn.XLOOKUP($A77,'Raw Data'!$A:$A,'Raw Data'!$AV:$AV),"")</f>
        <v>0</v>
      </c>
      <c r="L77" s="230">
        <f>IFERROR(_xlfn.XLOOKUP($A77,'Raw Data'!$A:$A,'Raw Data'!$AW:$AW),"")</f>
        <v>0</v>
      </c>
      <c r="M77" s="230">
        <f>IFERROR(_xlfn.XLOOKUP($A77,'Raw Data'!$A:$A,'Raw Data'!$AX:$AX),"")</f>
        <v>0</v>
      </c>
      <c r="N77" s="230">
        <f>IFERROR(_xlfn.XLOOKUP($A77,'Raw Data'!$A:$A,'Raw Data'!$AY:$AY),"")</f>
        <v>0</v>
      </c>
      <c r="O77" s="231">
        <f>IFERROR(1-(SUMIF('Plant BD'!$B:$B,A77,'Plant BD'!$AE:$AE)/(AA77+SUMIF('Plant BD'!$B:$B,A77,'Plant BD'!$AE:$AE))),"")</f>
        <v>0.79504453539294206</v>
      </c>
      <c r="P77" s="231"/>
      <c r="Q77" s="232"/>
      <c r="R77" s="231">
        <f>IFERROR(1-(SUMIF('Grid BD'!$B:$B,$A77,'Grid BD'!$AD:$AD)/($AA77+SUMIF('Grid BD'!$B:$B,$A77,'Grid BD'!AD:AD))),"")</f>
        <v>0.92558780112281924</v>
      </c>
      <c r="S77" s="6"/>
      <c r="T77" s="232"/>
      <c r="U77" s="233">
        <f t="shared" si="4"/>
        <v>0.63025944659378774</v>
      </c>
      <c r="V77" s="233"/>
      <c r="W77" s="234">
        <f t="shared" si="6"/>
        <v>0.10955341088172464</v>
      </c>
      <c r="X77" s="227">
        <f>IFERROR(_xlfn.XLOOKUP($A77,'Raw Data'!$A:$A,'Raw Data'!$BA:$BA),"")</f>
        <v>64607</v>
      </c>
      <c r="Y77" s="227">
        <f>IFERROR(_xlfn.XLOOKUP($A77,'Raw Data'!$A:$A,'Raw Data'!BJ:BJ),"")</f>
        <v>64830.699999991339</v>
      </c>
      <c r="Z77" s="227">
        <f>IFERROR(_xlfn.XLOOKUP($A77,'Raw Data'!$A:$A,'Raw Data'!BK:BK),"")</f>
        <v>930.99999999992633</v>
      </c>
      <c r="AA77" s="227">
        <f>IFERROR(_xlfn.XLOOKUP($A77,'Raw Data'!$A:$A,'Raw Data'!BL:BL),"")</f>
        <v>63899.699999991411</v>
      </c>
      <c r="AB77" s="227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27">
        <f>IFERROR(_xlfn.XLOOKUP($D77,'Modelling New'!$D:$D,'Modelling New'!$T:$T)*1000,"")</f>
        <v>91091.690669094809</v>
      </c>
      <c r="AE77" s="234">
        <f>IFERROR(_xlfn.XLOOKUP($D77,'Modelling New'!$D:$D,'Modelling New'!$O:$O),"")</f>
        <v>0.73158446710143066</v>
      </c>
      <c r="AF77" s="234">
        <f>IFERROR(_xlfn.XLOOKUP($D77,'Modelling New'!$D:$D,'Modelling New'!$W:$W),"")</f>
        <v>0.15617296193540262</v>
      </c>
      <c r="AG77" s="234">
        <f>IFERROR(_xlfn.XLOOKUP($D77,'Modelling New'!$D:$D,'Modelling New'!AE:AE),"")</f>
        <v>0.995</v>
      </c>
      <c r="AH77" s="234">
        <v>0.99750000000000005</v>
      </c>
      <c r="AI77" s="6"/>
      <c r="AJ77" s="6"/>
      <c r="AK77" s="6"/>
      <c r="AL77" s="6"/>
      <c r="AM77" s="6"/>
      <c r="AN77" s="231"/>
      <c r="AO77" s="234"/>
      <c r="AP77" s="234"/>
      <c r="AQ77" s="234"/>
      <c r="AR77" s="227">
        <f>IFERROR(_xlfn.XLOOKUP($D77,'Modelling New'!$D:$D,'Modelling New'!$N:$N),"")</f>
        <v>24.303100000000001</v>
      </c>
      <c r="AS77" s="227"/>
    </row>
    <row r="78" spans="1:45" x14ac:dyDescent="0.35">
      <c r="A78" s="226">
        <f t="shared" si="5"/>
        <v>45821</v>
      </c>
      <c r="B78" s="227">
        <f>YEAR(Daily_KPI[[#This Row],[Date]])+IF(MONTH(Daily_KPI[[#This Row],[Date]])&gt;=4,1,0)</f>
        <v>2026</v>
      </c>
      <c r="C78" s="6">
        <f>YEAR(Daily_KPI[[#This Row],[Date]])</f>
        <v>2025</v>
      </c>
      <c r="D78" s="228">
        <f>Daily_KPI[[#This Row],[Date]]-DAY(Daily_KPI[[#This Row],[Date]])+1</f>
        <v>45809</v>
      </c>
      <c r="E78" s="6">
        <f t="shared" si="7"/>
        <v>30</v>
      </c>
      <c r="F78" s="229">
        <f>IFERROR(_xlfn.XLOOKUP($A78,'Raw Data'!$A:$A,'Raw Data'!$BR:$BR),"")</f>
        <v>12.350000000000001</v>
      </c>
      <c r="G78" s="230">
        <f>IFERROR(_xlfn.XLOOKUP($A78,'Raw Data'!$A:$A,'Raw Data'!$AO:$AO),"")</f>
        <v>0</v>
      </c>
      <c r="H78" s="230"/>
      <c r="I78" s="230">
        <f>IFERROR(_xlfn.XLOOKUP($A78,'Raw Data'!$A:$A,'Raw Data'!$AR:$AR),"")</f>
        <v>4.3687764003294891</v>
      </c>
      <c r="J78" s="230"/>
      <c r="K78" s="230">
        <f>IFERROR(_xlfn.XLOOKUP($A78,'Raw Data'!$A:$A,'Raw Data'!$AV:$AV),"")</f>
        <v>0</v>
      </c>
      <c r="L78" s="230">
        <f>IFERROR(_xlfn.XLOOKUP($A78,'Raw Data'!$A:$A,'Raw Data'!$AW:$AW),"")</f>
        <v>0</v>
      </c>
      <c r="M78" s="230">
        <f>IFERROR(_xlfn.XLOOKUP($A78,'Raw Data'!$A:$A,'Raw Data'!$AX:$AX),"")</f>
        <v>0</v>
      </c>
      <c r="N78" s="230">
        <f>IFERROR(_xlfn.XLOOKUP($A78,'Raw Data'!$A:$A,'Raw Data'!$AY:$AY),"")</f>
        <v>0</v>
      </c>
      <c r="O78" s="231">
        <f>IFERROR(1-(SUMIF('Plant BD'!$B:$B,A78,'Plant BD'!$AE:$AE)/(AA78+SUMIF('Plant BD'!$B:$B,A78,'Plant BD'!$AE:$AE))),"")</f>
        <v>0.91158859698180872</v>
      </c>
      <c r="P78" s="231"/>
      <c r="Q78" s="232"/>
      <c r="R78" s="231">
        <f>IFERROR(1-(SUMIF('Grid BD'!$B:$B,$A78,'Grid BD'!$AD:$AD)/($AA78+SUMIF('Grid BD'!$B:$B,$A78,'Grid BD'!AD:AD))),"")</f>
        <v>0.97001969726637727</v>
      </c>
      <c r="S78" s="6"/>
      <c r="T78" s="232"/>
      <c r="U78" s="233">
        <f t="shared" si="4"/>
        <v>0.70454847234316587</v>
      </c>
      <c r="V78" s="233"/>
      <c r="W78" s="234">
        <f t="shared" si="6"/>
        <v>0.12825061411920902</v>
      </c>
      <c r="X78" s="227">
        <f>IFERROR(_xlfn.XLOOKUP($A78,'Raw Data'!$A:$A,'Raw Data'!$BA:$BA),"")</f>
        <v>75838</v>
      </c>
      <c r="Y78" s="227">
        <f>IFERROR(_xlfn.XLOOKUP($A78,'Raw Data'!$A:$A,'Raw Data'!BJ:BJ),"")</f>
        <v>75770.500000013271</v>
      </c>
      <c r="Z78" s="227">
        <f>IFERROR(_xlfn.XLOOKUP($A78,'Raw Data'!$A:$A,'Raw Data'!BK:BK),"")</f>
        <v>965.20000000009532</v>
      </c>
      <c r="AA78" s="227">
        <f>IFERROR(_xlfn.XLOOKUP($A78,'Raw Data'!$A:$A,'Raw Data'!BL:BL),"")</f>
        <v>74805.300000013172</v>
      </c>
      <c r="AB78" s="227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27">
        <f>IFERROR(_xlfn.XLOOKUP($D78,'Modelling New'!$D:$D,'Modelling New'!$T:$T)*1000,"")</f>
        <v>91091.690669094809</v>
      </c>
      <c r="AE78" s="234">
        <f>IFERROR(_xlfn.XLOOKUP($D78,'Modelling New'!$D:$D,'Modelling New'!$O:$O),"")</f>
        <v>0.73158446710143066</v>
      </c>
      <c r="AF78" s="234">
        <f>IFERROR(_xlfn.XLOOKUP($D78,'Modelling New'!$D:$D,'Modelling New'!$W:$W),"")</f>
        <v>0.15617296193540262</v>
      </c>
      <c r="AG78" s="234">
        <f>IFERROR(_xlfn.XLOOKUP($D78,'Modelling New'!$D:$D,'Modelling New'!AE:AE),"")</f>
        <v>0.995</v>
      </c>
      <c r="AH78" s="234">
        <v>0.99750000000000005</v>
      </c>
      <c r="AI78" s="6"/>
      <c r="AJ78" s="6"/>
      <c r="AK78" s="6"/>
      <c r="AL78" s="6"/>
      <c r="AM78" s="6"/>
      <c r="AN78" s="231"/>
      <c r="AO78" s="234"/>
      <c r="AP78" s="234"/>
      <c r="AQ78" s="234"/>
      <c r="AR78" s="227">
        <f>IFERROR(_xlfn.XLOOKUP($D78,'Modelling New'!$D:$D,'Modelling New'!$N:$N),"")</f>
        <v>24.303100000000001</v>
      </c>
      <c r="AS78" s="227"/>
    </row>
    <row r="79" spans="1:45" x14ac:dyDescent="0.35">
      <c r="A79" s="226">
        <f t="shared" si="5"/>
        <v>45822</v>
      </c>
      <c r="B79" s="227">
        <f>YEAR(Daily_KPI[[#This Row],[Date]])+IF(MONTH(Daily_KPI[[#This Row],[Date]])&gt;=4,1,0)</f>
        <v>2026</v>
      </c>
      <c r="C79" s="6">
        <f>YEAR(Daily_KPI[[#This Row],[Date]])</f>
        <v>2025</v>
      </c>
      <c r="D79" s="228">
        <f>Daily_KPI[[#This Row],[Date]]-DAY(Daily_KPI[[#This Row],[Date]])+1</f>
        <v>45809</v>
      </c>
      <c r="E79" s="6">
        <f t="shared" si="7"/>
        <v>30</v>
      </c>
      <c r="F79" s="229">
        <f>IFERROR(_xlfn.XLOOKUP($A79,'Raw Data'!$A:$A,'Raw Data'!$BR:$BR),"")</f>
        <v>12.450000000000001</v>
      </c>
      <c r="G79" s="230">
        <f>IFERROR(_xlfn.XLOOKUP($A79,'Raw Data'!$A:$A,'Raw Data'!$AO:$AO),"")</f>
        <v>0</v>
      </c>
      <c r="H79" s="230"/>
      <c r="I79" s="230">
        <f>IFERROR(_xlfn.XLOOKUP($A79,'Raw Data'!$A:$A,'Raw Data'!$AR:$AR),"")</f>
        <v>5.3531399917627676</v>
      </c>
      <c r="J79" s="230"/>
      <c r="K79" s="230">
        <f>IFERROR(_xlfn.XLOOKUP($A79,'Raw Data'!$A:$A,'Raw Data'!$AV:$AV),"")</f>
        <v>0</v>
      </c>
      <c r="L79" s="230">
        <f>IFERROR(_xlfn.XLOOKUP($A79,'Raw Data'!$A:$A,'Raw Data'!$AW:$AW),"")</f>
        <v>0</v>
      </c>
      <c r="M79" s="230">
        <f>IFERROR(_xlfn.XLOOKUP($A79,'Raw Data'!$A:$A,'Raw Data'!$AX:$AX),"")</f>
        <v>0</v>
      </c>
      <c r="N79" s="230">
        <f>IFERROR(_xlfn.XLOOKUP($A79,'Raw Data'!$A:$A,'Raw Data'!$AY:$AY),"")</f>
        <v>0</v>
      </c>
      <c r="O79" s="231">
        <f>IFERROR(1-(SUMIF('Plant BD'!$B:$B,A79,'Plant BD'!$AE:$AE)/(AA79+SUMIF('Plant BD'!$B:$B,A79,'Plant BD'!$AE:$AE))),"")</f>
        <v>0.86182058310895027</v>
      </c>
      <c r="P79" s="231"/>
      <c r="Q79" s="232"/>
      <c r="R79" s="231">
        <f>IFERROR(1-(SUMIF('Grid BD'!$B:$B,$A79,'Grid BD'!$AD:$AD)/($AA79+SUMIF('Grid BD'!$B:$B,$A79,'Grid BD'!AD:AD))),"")</f>
        <v>0.94052756246834746</v>
      </c>
      <c r="S79" s="6"/>
      <c r="T79" s="232"/>
      <c r="U79" s="233">
        <f t="shared" si="4"/>
        <v>0.66753577355042304</v>
      </c>
      <c r="V79" s="233"/>
      <c r="W79" s="234">
        <f t="shared" si="6"/>
        <v>0.14889218522187767</v>
      </c>
      <c r="X79" s="227">
        <f>IFERROR(_xlfn.XLOOKUP($A79,'Raw Data'!$A:$A,'Raw Data'!$BA:$BA),"")</f>
        <v>88061</v>
      </c>
      <c r="Y79" s="227">
        <f>IFERROR(_xlfn.XLOOKUP($A79,'Raw Data'!$A:$A,'Raw Data'!BJ:BJ),"")</f>
        <v>87669.299999979557</v>
      </c>
      <c r="Z79" s="227">
        <f>IFERROR(_xlfn.XLOOKUP($A79,'Raw Data'!$A:$A,'Raw Data'!BK:BK),"")</f>
        <v>824.29999999999382</v>
      </c>
      <c r="AA79" s="227">
        <f>IFERROR(_xlfn.XLOOKUP($A79,'Raw Data'!$A:$A,'Raw Data'!BL:BL),"")</f>
        <v>86844.999999979569</v>
      </c>
      <c r="AB79" s="227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27">
        <f>IFERROR(_xlfn.XLOOKUP($D79,'Modelling New'!$D:$D,'Modelling New'!$T:$T)*1000,"")</f>
        <v>91091.690669094809</v>
      </c>
      <c r="AE79" s="234">
        <f>IFERROR(_xlfn.XLOOKUP($D79,'Modelling New'!$D:$D,'Modelling New'!$O:$O),"")</f>
        <v>0.73158446710143066</v>
      </c>
      <c r="AF79" s="234">
        <f>IFERROR(_xlfn.XLOOKUP($D79,'Modelling New'!$D:$D,'Modelling New'!$W:$W),"")</f>
        <v>0.15617296193540262</v>
      </c>
      <c r="AG79" s="234">
        <f>IFERROR(_xlfn.XLOOKUP($D79,'Modelling New'!$D:$D,'Modelling New'!AE:AE),"")</f>
        <v>0.995</v>
      </c>
      <c r="AH79" s="234">
        <v>0.99750000000000005</v>
      </c>
      <c r="AI79" s="6"/>
      <c r="AJ79" s="6"/>
      <c r="AK79" s="6"/>
      <c r="AL79" s="6"/>
      <c r="AM79" s="6"/>
      <c r="AN79" s="231"/>
      <c r="AO79" s="234"/>
      <c r="AP79" s="234"/>
      <c r="AQ79" s="234"/>
      <c r="AR79" s="227">
        <f>IFERROR(_xlfn.XLOOKUP($D79,'Modelling New'!$D:$D,'Modelling New'!$N:$N),"")</f>
        <v>24.303100000000001</v>
      </c>
      <c r="AS79" s="227"/>
    </row>
    <row r="80" spans="1:45" x14ac:dyDescent="0.35">
      <c r="A80" s="226">
        <f t="shared" si="5"/>
        <v>45823</v>
      </c>
      <c r="B80" s="227">
        <f>YEAR(Daily_KPI[[#This Row],[Date]])+IF(MONTH(Daily_KPI[[#This Row],[Date]])&gt;=4,1,0)</f>
        <v>2026</v>
      </c>
      <c r="C80" s="6">
        <f>YEAR(Daily_KPI[[#This Row],[Date]])</f>
        <v>2025</v>
      </c>
      <c r="D80" s="228">
        <f>Daily_KPI[[#This Row],[Date]]-DAY(Daily_KPI[[#This Row],[Date]])+1</f>
        <v>45809</v>
      </c>
      <c r="E80" s="6">
        <f t="shared" si="7"/>
        <v>30</v>
      </c>
      <c r="F80" s="229">
        <f>IFERROR(_xlfn.XLOOKUP($A80,'Raw Data'!$A:$A,'Raw Data'!$BR:$BR),"")</f>
        <v>12.483333333333334</v>
      </c>
      <c r="G80" s="230">
        <f>IFERROR(_xlfn.XLOOKUP($A80,'Raw Data'!$A:$A,'Raw Data'!$AO:$AO),"")</f>
        <v>0</v>
      </c>
      <c r="H80" s="230"/>
      <c r="I80" s="230">
        <f>IFERROR(_xlfn.XLOOKUP($A80,'Raw Data'!$A:$A,'Raw Data'!$AR:$AR),"")</f>
        <v>4.702844110378912</v>
      </c>
      <c r="J80" s="230"/>
      <c r="K80" s="230">
        <f>IFERROR(_xlfn.XLOOKUP($A80,'Raw Data'!$A:$A,'Raw Data'!$AV:$AV),"")</f>
        <v>0</v>
      </c>
      <c r="L80" s="230">
        <f>IFERROR(_xlfn.XLOOKUP($A80,'Raw Data'!$A:$A,'Raw Data'!$AW:$AW),"")</f>
        <v>0</v>
      </c>
      <c r="M80" s="230">
        <f>IFERROR(_xlfn.XLOOKUP($A80,'Raw Data'!$A:$A,'Raw Data'!$AX:$AX),"")</f>
        <v>0</v>
      </c>
      <c r="N80" s="230">
        <f>IFERROR(_xlfn.XLOOKUP($A80,'Raw Data'!$A:$A,'Raw Data'!$AY:$AY),"")</f>
        <v>0</v>
      </c>
      <c r="O80" s="231">
        <f>IFERROR(1-(SUMIF('Plant BD'!$B:$B,A80,'Plant BD'!$AE:$AE)/(AA80+SUMIF('Plant BD'!$B:$B,A80,'Plant BD'!$AE:$AE))),"")</f>
        <v>0.8138888395654208</v>
      </c>
      <c r="P80" s="231"/>
      <c r="Q80" s="232"/>
      <c r="R80" s="231">
        <f>IFERROR(1-(SUMIF('Grid BD'!$B:$B,$A80,'Grid BD'!$AD:$AD)/($AA80+SUMIF('Grid BD'!$B:$B,$A80,'Grid BD'!AD:AD))),"")</f>
        <v>0.85462854686583467</v>
      </c>
      <c r="S80" s="6"/>
      <c r="T80" s="232"/>
      <c r="U80" s="233">
        <f t="shared" si="4"/>
        <v>0.55855226661772905</v>
      </c>
      <c r="V80" s="233"/>
      <c r="W80" s="234">
        <f t="shared" si="6"/>
        <v>0.10944934322508244</v>
      </c>
      <c r="X80" s="227">
        <f>IFERROR(_xlfn.XLOOKUP($A80,'Raw Data'!$A:$A,'Raw Data'!$BA:$BA),"")</f>
        <v>64801</v>
      </c>
      <c r="Y80" s="227">
        <f>IFERROR(_xlfn.XLOOKUP($A80,'Raw Data'!$A:$A,'Raw Data'!BJ:BJ),"")</f>
        <v>64510.500000003958</v>
      </c>
      <c r="Z80" s="227">
        <f>IFERROR(_xlfn.XLOOKUP($A80,'Raw Data'!$A:$A,'Raw Data'!BK:BK),"")</f>
        <v>671.4999999999236</v>
      </c>
      <c r="AA80" s="227">
        <f>IFERROR(_xlfn.XLOOKUP($A80,'Raw Data'!$A:$A,'Raw Data'!BL:BL),"")</f>
        <v>63839.000000004031</v>
      </c>
      <c r="AB80" s="227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27">
        <f>IFERROR(_xlfn.XLOOKUP($D80,'Modelling New'!$D:$D,'Modelling New'!$T:$T)*1000,"")</f>
        <v>91091.690669094809</v>
      </c>
      <c r="AE80" s="234">
        <f>IFERROR(_xlfn.XLOOKUP($D80,'Modelling New'!$D:$D,'Modelling New'!$O:$O),"")</f>
        <v>0.73158446710143066</v>
      </c>
      <c r="AF80" s="234">
        <f>IFERROR(_xlfn.XLOOKUP($D80,'Modelling New'!$D:$D,'Modelling New'!$W:$W),"")</f>
        <v>0.15617296193540262</v>
      </c>
      <c r="AG80" s="234">
        <f>IFERROR(_xlfn.XLOOKUP($D80,'Modelling New'!$D:$D,'Modelling New'!AE:AE),"")</f>
        <v>0.995</v>
      </c>
      <c r="AH80" s="234">
        <v>0.99750000000000005</v>
      </c>
      <c r="AI80" s="6"/>
      <c r="AJ80" s="6"/>
      <c r="AK80" s="6"/>
      <c r="AL80" s="6"/>
      <c r="AM80" s="6"/>
      <c r="AN80" s="231"/>
      <c r="AO80" s="234"/>
      <c r="AP80" s="234"/>
      <c r="AQ80" s="234"/>
      <c r="AR80" s="227">
        <f>IFERROR(_xlfn.XLOOKUP($D80,'Modelling New'!$D:$D,'Modelling New'!$N:$N),"")</f>
        <v>24.303100000000001</v>
      </c>
      <c r="AS80" s="227"/>
    </row>
    <row r="81" spans="1:45" x14ac:dyDescent="0.35">
      <c r="A81" s="226">
        <f t="shared" si="5"/>
        <v>45824</v>
      </c>
      <c r="B81" s="227">
        <f>YEAR(Daily_KPI[[#This Row],[Date]])+IF(MONTH(Daily_KPI[[#This Row],[Date]])&gt;=4,1,0)</f>
        <v>2026</v>
      </c>
      <c r="C81" s="6">
        <f>YEAR(Daily_KPI[[#This Row],[Date]])</f>
        <v>2025</v>
      </c>
      <c r="D81" s="228">
        <f>Daily_KPI[[#This Row],[Date]]-DAY(Daily_KPI[[#This Row],[Date]])+1</f>
        <v>45809</v>
      </c>
      <c r="E81" s="6">
        <f t="shared" si="7"/>
        <v>30</v>
      </c>
      <c r="F81" s="229">
        <f>IFERROR(_xlfn.XLOOKUP($A81,'Raw Data'!$A:$A,'Raw Data'!$BR:$BR),"")</f>
        <v>12.283333333333335</v>
      </c>
      <c r="G81" s="230">
        <f>IFERROR(_xlfn.XLOOKUP($A81,'Raw Data'!$A:$A,'Raw Data'!$AO:$AO),"")</f>
        <v>0</v>
      </c>
      <c r="H81" s="230"/>
      <c r="I81" s="230">
        <f>IFERROR(_xlfn.XLOOKUP($A81,'Raw Data'!$A:$A,'Raw Data'!$AR:$AR),"")</f>
        <v>5.0417824958813835</v>
      </c>
      <c r="J81" s="230"/>
      <c r="K81" s="230">
        <f>IFERROR(_xlfn.XLOOKUP($A81,'Raw Data'!$A:$A,'Raw Data'!$AV:$AV),"")</f>
        <v>0</v>
      </c>
      <c r="L81" s="230">
        <f>IFERROR(_xlfn.XLOOKUP($A81,'Raw Data'!$A:$A,'Raw Data'!$AW:$AW),"")</f>
        <v>0</v>
      </c>
      <c r="M81" s="230">
        <f>IFERROR(_xlfn.XLOOKUP($A81,'Raw Data'!$A:$A,'Raw Data'!$AX:$AX),"")</f>
        <v>0</v>
      </c>
      <c r="N81" s="230">
        <f>IFERROR(_xlfn.XLOOKUP($A81,'Raw Data'!$A:$A,'Raw Data'!$AY:$AY),"")</f>
        <v>0</v>
      </c>
      <c r="O81" s="231">
        <f>IFERROR(1-(SUMIF('Plant BD'!$B:$B,A81,'Plant BD'!$AE:$AE)/(AA81+SUMIF('Plant BD'!$B:$B,A81,'Plant BD'!$AE:$AE))),"")</f>
        <v>0.94368117393116147</v>
      </c>
      <c r="P81" s="231"/>
      <c r="Q81" s="232"/>
      <c r="R81" s="231">
        <f>IFERROR(1-(SUMIF('Grid BD'!$B:$B,$A81,'Grid BD'!$AD:$AD)/($AA81+SUMIF('Grid BD'!$B:$B,$A81,'Grid BD'!AD:AD))),"")</f>
        <v>1</v>
      </c>
      <c r="S81" s="6"/>
      <c r="T81" s="232"/>
      <c r="U81" s="233">
        <f t="shared" si="4"/>
        <v>0.77827932071835915</v>
      </c>
      <c r="V81" s="233"/>
      <c r="W81" s="234">
        <f t="shared" si="6"/>
        <v>0.16349646067101151</v>
      </c>
      <c r="X81" s="227">
        <f>IFERROR(_xlfn.XLOOKUP($A81,'Raw Data'!$A:$A,'Raw Data'!$BA:$BA),"")</f>
        <v>96435</v>
      </c>
      <c r="Y81" s="227">
        <f>IFERROR(_xlfn.XLOOKUP($A81,'Raw Data'!$A:$A,'Raw Data'!BJ:BJ),"")</f>
        <v>96242.20000000787</v>
      </c>
      <c r="Z81" s="227">
        <f>IFERROR(_xlfn.XLOOKUP($A81,'Raw Data'!$A:$A,'Raw Data'!BK:BK),"")</f>
        <v>878.9000000000442</v>
      </c>
      <c r="AA81" s="227">
        <f>IFERROR(_xlfn.XLOOKUP($A81,'Raw Data'!$A:$A,'Raw Data'!BL:BL),"")</f>
        <v>95363.300000007832</v>
      </c>
      <c r="AB81" s="227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27">
        <f>IFERROR(_xlfn.XLOOKUP($D81,'Modelling New'!$D:$D,'Modelling New'!$T:$T)*1000,"")</f>
        <v>91091.690669094809</v>
      </c>
      <c r="AE81" s="234">
        <f>IFERROR(_xlfn.XLOOKUP($D81,'Modelling New'!$D:$D,'Modelling New'!$O:$O),"")</f>
        <v>0.73158446710143066</v>
      </c>
      <c r="AF81" s="234">
        <f>IFERROR(_xlfn.XLOOKUP($D81,'Modelling New'!$D:$D,'Modelling New'!$W:$W),"")</f>
        <v>0.15617296193540262</v>
      </c>
      <c r="AG81" s="234">
        <f>IFERROR(_xlfn.XLOOKUP($D81,'Modelling New'!$D:$D,'Modelling New'!AE:AE),"")</f>
        <v>0.995</v>
      </c>
      <c r="AH81" s="234">
        <v>0.99750000000000005</v>
      </c>
      <c r="AI81" s="6"/>
      <c r="AJ81" s="6"/>
      <c r="AK81" s="6"/>
      <c r="AL81" s="6"/>
      <c r="AM81" s="6"/>
      <c r="AN81" s="231"/>
      <c r="AO81" s="234"/>
      <c r="AP81" s="234"/>
      <c r="AQ81" s="234"/>
      <c r="AR81" s="227">
        <f>IFERROR(_xlfn.XLOOKUP($D81,'Modelling New'!$D:$D,'Modelling New'!$N:$N),"")</f>
        <v>24.303100000000001</v>
      </c>
      <c r="AS81" s="227"/>
    </row>
    <row r="82" spans="1:45" x14ac:dyDescent="0.35">
      <c r="A82" s="226">
        <f t="shared" si="5"/>
        <v>45825</v>
      </c>
      <c r="B82" s="227">
        <f>YEAR(Daily_KPI[[#This Row],[Date]])+IF(MONTH(Daily_KPI[[#This Row],[Date]])&gt;=4,1,0)</f>
        <v>2026</v>
      </c>
      <c r="C82" s="6">
        <f>YEAR(Daily_KPI[[#This Row],[Date]])</f>
        <v>2025</v>
      </c>
      <c r="D82" s="228">
        <f>Daily_KPI[[#This Row],[Date]]-DAY(Daily_KPI[[#This Row],[Date]])+1</f>
        <v>45809</v>
      </c>
      <c r="E82" s="6">
        <f t="shared" si="7"/>
        <v>30</v>
      </c>
      <c r="F82" s="229">
        <f>IFERROR(_xlfn.XLOOKUP($A82,'Raw Data'!$A:$A,'Raw Data'!$BR:$BR),"")</f>
        <v>12.716666666666667</v>
      </c>
      <c r="G82" s="230">
        <f>IFERROR(_xlfn.XLOOKUP($A82,'Raw Data'!$A:$A,'Raw Data'!$AO:$AO),"")</f>
        <v>0</v>
      </c>
      <c r="H82" s="230"/>
      <c r="I82" s="230">
        <f>IFERROR(_xlfn.XLOOKUP($A82,'Raw Data'!$A:$A,'Raw Data'!$AR:$AR),"")</f>
        <v>6.05952471169687</v>
      </c>
      <c r="J82" s="230"/>
      <c r="K82" s="230">
        <f>IFERROR(_xlfn.XLOOKUP($A82,'Raw Data'!$A:$A,'Raw Data'!$AV:$AV),"")</f>
        <v>0</v>
      </c>
      <c r="L82" s="230">
        <f>IFERROR(_xlfn.XLOOKUP($A82,'Raw Data'!$A:$A,'Raw Data'!$AW:$AW),"")</f>
        <v>0</v>
      </c>
      <c r="M82" s="230">
        <f>IFERROR(_xlfn.XLOOKUP($A82,'Raw Data'!$A:$A,'Raw Data'!$AX:$AX),"")</f>
        <v>0</v>
      </c>
      <c r="N82" s="230">
        <f>IFERROR(_xlfn.XLOOKUP($A82,'Raw Data'!$A:$A,'Raw Data'!$AY:$AY),"")</f>
        <v>0</v>
      </c>
      <c r="O82" s="231">
        <f>IFERROR(1-(SUMIF('Plant BD'!$B:$B,A82,'Plant BD'!$AE:$AE)/(AA82+SUMIF('Plant BD'!$B:$B,A82,'Plant BD'!$AE:$AE))),"")</f>
        <v>0.94915546580793475</v>
      </c>
      <c r="P82" s="231"/>
      <c r="Q82" s="232"/>
      <c r="R82" s="231">
        <f>IFERROR(1-(SUMIF('Grid BD'!$B:$B,$A82,'Grid BD'!$AD:$AD)/($AA82+SUMIF('Grid BD'!$B:$B,$A82,'Grid BD'!AD:AD))),"")</f>
        <v>1</v>
      </c>
      <c r="S82" s="6"/>
      <c r="T82" s="232"/>
      <c r="U82" s="233">
        <f t="shared" ref="U82:U126" si="8">IFERROR(AA82/I82/AB82/1000,"")</f>
        <v>0.75093486921293662</v>
      </c>
      <c r="V82" s="233"/>
      <c r="W82" s="234">
        <f t="shared" si="6"/>
        <v>0.18959618320294361</v>
      </c>
      <c r="X82" s="227">
        <f>IFERROR(_xlfn.XLOOKUP($A82,'Raw Data'!$A:$A,'Raw Data'!$BA:$BA),"")</f>
        <v>112222</v>
      </c>
      <c r="Y82" s="227">
        <f>IFERROR(_xlfn.XLOOKUP($A82,'Raw Data'!$A:$A,'Raw Data'!BJ:BJ),"")</f>
        <v>111681.09999998705</v>
      </c>
      <c r="Z82" s="227">
        <f>IFERROR(_xlfn.XLOOKUP($A82,'Raw Data'!$A:$A,'Raw Data'!BK:BK),"")</f>
        <v>1094.5000000000391</v>
      </c>
      <c r="AA82" s="227">
        <f>IFERROR(_xlfn.XLOOKUP($A82,'Raw Data'!$A:$A,'Raw Data'!BL:BL),"")</f>
        <v>110586.59999998701</v>
      </c>
      <c r="AB82" s="227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27">
        <f>IFERROR(_xlfn.XLOOKUP($D82,'Modelling New'!$D:$D,'Modelling New'!$T:$T)*1000,"")</f>
        <v>91091.690669094809</v>
      </c>
      <c r="AE82" s="234">
        <f>IFERROR(_xlfn.XLOOKUP($D82,'Modelling New'!$D:$D,'Modelling New'!$O:$O),"")</f>
        <v>0.73158446710143066</v>
      </c>
      <c r="AF82" s="234">
        <f>IFERROR(_xlfn.XLOOKUP($D82,'Modelling New'!$D:$D,'Modelling New'!$W:$W),"")</f>
        <v>0.15617296193540262</v>
      </c>
      <c r="AG82" s="234">
        <f>IFERROR(_xlfn.XLOOKUP($D82,'Modelling New'!$D:$D,'Modelling New'!AE:AE),"")</f>
        <v>0.995</v>
      </c>
      <c r="AH82" s="234">
        <v>0.99750000000000005</v>
      </c>
      <c r="AI82" s="6"/>
      <c r="AJ82" s="6"/>
      <c r="AK82" s="6"/>
      <c r="AL82" s="6"/>
      <c r="AM82" s="6"/>
      <c r="AN82" s="231"/>
      <c r="AO82" s="234"/>
      <c r="AP82" s="234"/>
      <c r="AQ82" s="234"/>
      <c r="AR82" s="227">
        <f>IFERROR(_xlfn.XLOOKUP($D82,'Modelling New'!$D:$D,'Modelling New'!$N:$N),"")</f>
        <v>24.303100000000001</v>
      </c>
      <c r="AS82" s="227"/>
    </row>
    <row r="83" spans="1:45" x14ac:dyDescent="0.35">
      <c r="A83" s="226">
        <f t="shared" si="5"/>
        <v>45826</v>
      </c>
      <c r="B83" s="227">
        <f>YEAR(Daily_KPI[[#This Row],[Date]])+IF(MONTH(Daily_KPI[[#This Row],[Date]])&gt;=4,1,0)</f>
        <v>2026</v>
      </c>
      <c r="C83" s="6">
        <f>YEAR(Daily_KPI[[#This Row],[Date]])</f>
        <v>2025</v>
      </c>
      <c r="D83" s="228">
        <f>Daily_KPI[[#This Row],[Date]]-DAY(Daily_KPI[[#This Row],[Date]])+1</f>
        <v>45809</v>
      </c>
      <c r="E83" s="6">
        <f t="shared" si="7"/>
        <v>30</v>
      </c>
      <c r="F83" s="229">
        <f>IFERROR(_xlfn.XLOOKUP($A83,'Raw Data'!$A:$A,'Raw Data'!$BR:$BR),"")</f>
        <v>12.65</v>
      </c>
      <c r="G83" s="230">
        <f>IFERROR(_xlfn.XLOOKUP($A83,'Raw Data'!$A:$A,'Raw Data'!$AO:$AO),"")</f>
        <v>0</v>
      </c>
      <c r="H83" s="230"/>
      <c r="I83" s="230">
        <f>IFERROR(_xlfn.XLOOKUP($A83,'Raw Data'!$A:$A,'Raw Data'!$AR:$AR),"")</f>
        <v>4.2943764415156505</v>
      </c>
      <c r="J83" s="230"/>
      <c r="K83" s="230">
        <f>IFERROR(_xlfn.XLOOKUP($A83,'Raw Data'!$A:$A,'Raw Data'!$AV:$AV),"")</f>
        <v>0</v>
      </c>
      <c r="L83" s="230">
        <f>IFERROR(_xlfn.XLOOKUP($A83,'Raw Data'!$A:$A,'Raw Data'!$AW:$AW),"")</f>
        <v>0</v>
      </c>
      <c r="M83" s="230">
        <f>IFERROR(_xlfn.XLOOKUP($A83,'Raw Data'!$A:$A,'Raw Data'!$AX:$AX),"")</f>
        <v>0</v>
      </c>
      <c r="N83" s="230">
        <f>IFERROR(_xlfn.XLOOKUP($A83,'Raw Data'!$A:$A,'Raw Data'!$AY:$AY),"")</f>
        <v>0</v>
      </c>
      <c r="O83" s="231">
        <f>IFERROR(1-(SUMIF('Plant BD'!$B:$B,A83,'Plant BD'!$AE:$AE)/(AA83+SUMIF('Plant BD'!$B:$B,A83,'Plant BD'!$AE:$AE))),"")</f>
        <v>0.95529545922462455</v>
      </c>
      <c r="P83" s="231"/>
      <c r="Q83" s="232"/>
      <c r="R83" s="231">
        <f>IFERROR(1-(SUMIF('Grid BD'!$B:$B,$A83,'Grid BD'!$AD:$AD)/($AA83+SUMIF('Grid BD'!$B:$B,$A83,'Grid BD'!AD:AD))),"")</f>
        <v>1</v>
      </c>
      <c r="S83" s="6"/>
      <c r="T83" s="232"/>
      <c r="U83" s="233">
        <f t="shared" si="8"/>
        <v>0.79570046529974692</v>
      </c>
      <c r="V83" s="233"/>
      <c r="W83" s="234">
        <f t="shared" si="6"/>
        <v>0.14237655552859477</v>
      </c>
      <c r="X83" s="227">
        <f>IFERROR(_xlfn.XLOOKUP($A83,'Raw Data'!$A:$A,'Raw Data'!$BA:$BA),"")</f>
        <v>83816</v>
      </c>
      <c r="Y83" s="227">
        <f>IFERROR(_xlfn.XLOOKUP($A83,'Raw Data'!$A:$A,'Raw Data'!BJ:BJ),"")</f>
        <v>83843.30000000773</v>
      </c>
      <c r="Z83" s="227">
        <f>IFERROR(_xlfn.XLOOKUP($A83,'Raw Data'!$A:$A,'Raw Data'!BK:BK),"")</f>
        <v>798.69999999993979</v>
      </c>
      <c r="AA83" s="227">
        <f>IFERROR(_xlfn.XLOOKUP($A83,'Raw Data'!$A:$A,'Raw Data'!BL:BL),"")</f>
        <v>83044.600000007791</v>
      </c>
      <c r="AB83" s="227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27">
        <f>IFERROR(_xlfn.XLOOKUP($D83,'Modelling New'!$D:$D,'Modelling New'!$T:$T)*1000,"")</f>
        <v>91091.690669094809</v>
      </c>
      <c r="AE83" s="234">
        <f>IFERROR(_xlfn.XLOOKUP($D83,'Modelling New'!$D:$D,'Modelling New'!$O:$O),"")</f>
        <v>0.73158446710143066</v>
      </c>
      <c r="AF83" s="234">
        <f>IFERROR(_xlfn.XLOOKUP($D83,'Modelling New'!$D:$D,'Modelling New'!$W:$W),"")</f>
        <v>0.15617296193540262</v>
      </c>
      <c r="AG83" s="234">
        <f>IFERROR(_xlfn.XLOOKUP($D83,'Modelling New'!$D:$D,'Modelling New'!AE:AE),"")</f>
        <v>0.995</v>
      </c>
      <c r="AH83" s="234">
        <v>0.99750000000000005</v>
      </c>
      <c r="AI83" s="6"/>
      <c r="AJ83" s="6"/>
      <c r="AK83" s="6"/>
      <c r="AL83" s="6"/>
      <c r="AM83" s="6"/>
      <c r="AN83" s="231"/>
      <c r="AO83" s="234"/>
      <c r="AP83" s="234"/>
      <c r="AQ83" s="234"/>
      <c r="AR83" s="227">
        <f>IFERROR(_xlfn.XLOOKUP($D83,'Modelling New'!$D:$D,'Modelling New'!$N:$N),"")</f>
        <v>24.303100000000001</v>
      </c>
      <c r="AS83" s="227"/>
    </row>
    <row r="84" spans="1:45" x14ac:dyDescent="0.35">
      <c r="A84" s="226">
        <f t="shared" ref="A84:A147" si="9">A83+1</f>
        <v>45827</v>
      </c>
      <c r="B84" s="227">
        <f>YEAR(Daily_KPI[[#This Row],[Date]])+IF(MONTH(Daily_KPI[[#This Row],[Date]])&gt;=4,1,0)</f>
        <v>2026</v>
      </c>
      <c r="C84" s="6">
        <f>YEAR(Daily_KPI[[#This Row],[Date]])</f>
        <v>2025</v>
      </c>
      <c r="D84" s="228">
        <f>Daily_KPI[[#This Row],[Date]]-DAY(Daily_KPI[[#This Row],[Date]])+1</f>
        <v>45809</v>
      </c>
      <c r="E84" s="6">
        <f t="shared" si="7"/>
        <v>30</v>
      </c>
      <c r="F84" s="229">
        <f>IFERROR(_xlfn.XLOOKUP($A84,'Raw Data'!$A:$A,'Raw Data'!$BR:$BR),"")</f>
        <v>12.75</v>
      </c>
      <c r="G84" s="230">
        <f>IFERROR(_xlfn.XLOOKUP($A84,'Raw Data'!$A:$A,'Raw Data'!$AO:$AO),"")</f>
        <v>0</v>
      </c>
      <c r="H84" s="230"/>
      <c r="I84" s="230">
        <f>IFERROR(_xlfn.XLOOKUP($A84,'Raw Data'!$A:$A,'Raw Data'!$AR:$AR),"")</f>
        <v>3.6714182454695221</v>
      </c>
      <c r="J84" s="230"/>
      <c r="K84" s="230">
        <f>IFERROR(_xlfn.XLOOKUP($A84,'Raw Data'!$A:$A,'Raw Data'!$AV:$AV),"")</f>
        <v>0</v>
      </c>
      <c r="L84" s="230">
        <f>IFERROR(_xlfn.XLOOKUP($A84,'Raw Data'!$A:$A,'Raw Data'!$AW:$AW),"")</f>
        <v>0</v>
      </c>
      <c r="M84" s="230">
        <f>IFERROR(_xlfn.XLOOKUP($A84,'Raw Data'!$A:$A,'Raw Data'!$AX:$AX),"")</f>
        <v>0</v>
      </c>
      <c r="N84" s="230">
        <f>IFERROR(_xlfn.XLOOKUP($A84,'Raw Data'!$A:$A,'Raw Data'!$AY:$AY),"")</f>
        <v>0</v>
      </c>
      <c r="O84" s="231">
        <f>IFERROR(1-(SUMIF('Plant BD'!$B:$B,A84,'Plant BD'!$AE:$AE)/(AA84+SUMIF('Plant BD'!$B:$B,A84,'Plant BD'!$AE:$AE))),"")</f>
        <v>0.98061246546328462</v>
      </c>
      <c r="P84" s="231"/>
      <c r="Q84" s="232"/>
      <c r="R84" s="231">
        <f>IFERROR(1-(SUMIF('Grid BD'!$B:$B,$A84,'Grid BD'!$AD:$AD)/($AA84+SUMIF('Grid BD'!$B:$B,$A84,'Grid BD'!AD:AD))),"")</f>
        <v>1</v>
      </c>
      <c r="S84" s="6"/>
      <c r="T84" s="232"/>
      <c r="U84" s="233">
        <f t="shared" si="8"/>
        <v>0.82046832649637935</v>
      </c>
      <c r="V84" s="233"/>
      <c r="W84" s="234">
        <f t="shared" si="6"/>
        <v>0.12551176598869385</v>
      </c>
      <c r="X84" s="227">
        <f>IFERROR(_xlfn.XLOOKUP($A84,'Raw Data'!$A:$A,'Raw Data'!$BA:$BA),"")</f>
        <v>74167</v>
      </c>
      <c r="Y84" s="227">
        <f>IFERROR(_xlfn.XLOOKUP($A84,'Raw Data'!$A:$A,'Raw Data'!BJ:BJ),"")</f>
        <v>74311.799999995856</v>
      </c>
      <c r="Z84" s="227">
        <f>IFERROR(_xlfn.XLOOKUP($A84,'Raw Data'!$A:$A,'Raw Data'!BK:BK),"")</f>
        <v>1104.0000000000418</v>
      </c>
      <c r="AA84" s="227">
        <f>IFERROR(_xlfn.XLOOKUP($A84,'Raw Data'!$A:$A,'Raw Data'!BL:BL),"")</f>
        <v>73207.799999995812</v>
      </c>
      <c r="AB84" s="227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27">
        <f>IFERROR(_xlfn.XLOOKUP($D84,'Modelling New'!$D:$D,'Modelling New'!$T:$T)*1000,"")</f>
        <v>91091.690669094809</v>
      </c>
      <c r="AE84" s="234">
        <f>IFERROR(_xlfn.XLOOKUP($D84,'Modelling New'!$D:$D,'Modelling New'!$O:$O),"")</f>
        <v>0.73158446710143066</v>
      </c>
      <c r="AF84" s="234">
        <f>IFERROR(_xlfn.XLOOKUP($D84,'Modelling New'!$D:$D,'Modelling New'!$W:$W),"")</f>
        <v>0.15617296193540262</v>
      </c>
      <c r="AG84" s="234">
        <f>IFERROR(_xlfn.XLOOKUP($D84,'Modelling New'!$D:$D,'Modelling New'!AE:AE),"")</f>
        <v>0.995</v>
      </c>
      <c r="AH84" s="234">
        <v>0.99750000000000005</v>
      </c>
      <c r="AI84" s="6"/>
      <c r="AJ84" s="6"/>
      <c r="AK84" s="6"/>
      <c r="AL84" s="6"/>
      <c r="AM84" s="6"/>
      <c r="AN84" s="231"/>
      <c r="AO84" s="234"/>
      <c r="AP84" s="234"/>
      <c r="AQ84" s="234"/>
      <c r="AR84" s="227">
        <f>IFERROR(_xlfn.XLOOKUP($D84,'Modelling New'!$D:$D,'Modelling New'!$N:$N),"")</f>
        <v>24.303100000000001</v>
      </c>
      <c r="AS84" s="227"/>
    </row>
    <row r="85" spans="1:45" x14ac:dyDescent="0.35">
      <c r="A85" s="226">
        <f t="shared" si="9"/>
        <v>45828</v>
      </c>
      <c r="B85" s="227">
        <f>YEAR(Daily_KPI[[#This Row],[Date]])+IF(MONTH(Daily_KPI[[#This Row],[Date]])&gt;=4,1,0)</f>
        <v>2026</v>
      </c>
      <c r="C85" s="6">
        <f>YEAR(Daily_KPI[[#This Row],[Date]])</f>
        <v>2025</v>
      </c>
      <c r="D85" s="228">
        <f>Daily_KPI[[#This Row],[Date]]-DAY(Daily_KPI[[#This Row],[Date]])+1</f>
        <v>45809</v>
      </c>
      <c r="E85" s="6">
        <f t="shared" si="7"/>
        <v>30</v>
      </c>
      <c r="F85" s="229">
        <f>IFERROR(_xlfn.XLOOKUP($A85,'Raw Data'!$A:$A,'Raw Data'!$BR:$BR),"")</f>
        <v>12.616666666666667</v>
      </c>
      <c r="G85" s="230">
        <f>IFERROR(_xlfn.XLOOKUP($A85,'Raw Data'!$A:$A,'Raw Data'!$AO:$AO),"")</f>
        <v>0</v>
      </c>
      <c r="H85" s="230"/>
      <c r="I85" s="230">
        <f>IFERROR(_xlfn.XLOOKUP($A85,'Raw Data'!$A:$A,'Raw Data'!$AR:$AR),"")</f>
        <v>5.6146372734761121</v>
      </c>
      <c r="J85" s="230"/>
      <c r="K85" s="230">
        <f>IFERROR(_xlfn.XLOOKUP($A85,'Raw Data'!$A:$A,'Raw Data'!$AV:$AV),"")</f>
        <v>0</v>
      </c>
      <c r="L85" s="230">
        <f>IFERROR(_xlfn.XLOOKUP($A85,'Raw Data'!$A:$A,'Raw Data'!$AW:$AW),"")</f>
        <v>0</v>
      </c>
      <c r="M85" s="230">
        <f>IFERROR(_xlfn.XLOOKUP($A85,'Raw Data'!$A:$A,'Raw Data'!$AX:$AX),"")</f>
        <v>0</v>
      </c>
      <c r="N85" s="230">
        <f>IFERROR(_xlfn.XLOOKUP($A85,'Raw Data'!$A:$A,'Raw Data'!$AY:$AY),"")</f>
        <v>0</v>
      </c>
      <c r="O85" s="231">
        <f>IFERROR(1-(SUMIF('Plant BD'!$B:$B,A85,'Plant BD'!$AE:$AE)/(AA85+SUMIF('Plant BD'!$B:$B,A85,'Plant BD'!$AE:$AE))),"")</f>
        <v>0.99133885801963761</v>
      </c>
      <c r="P85" s="231"/>
      <c r="Q85" s="232"/>
      <c r="R85" s="231">
        <f>IFERROR(1-(SUMIF('Grid BD'!$B:$B,$A85,'Grid BD'!$AD:$AD)/($AA85+SUMIF('Grid BD'!$B:$B,$A85,'Grid BD'!AD:AD))),"")</f>
        <v>1</v>
      </c>
      <c r="S85" s="6"/>
      <c r="T85" s="232"/>
      <c r="U85" s="233">
        <f t="shared" si="8"/>
        <v>0.82351010942180258</v>
      </c>
      <c r="V85" s="233"/>
      <c r="W85" s="234">
        <f t="shared" si="6"/>
        <v>0.19265460647683516</v>
      </c>
      <c r="X85" s="227">
        <f>IFERROR(_xlfn.XLOOKUP($A85,'Raw Data'!$A:$A,'Raw Data'!$BA:$BA),"")</f>
        <v>114078</v>
      </c>
      <c r="Y85" s="227">
        <f>IFERROR(_xlfn.XLOOKUP($A85,'Raw Data'!$A:$A,'Raw Data'!BJ:BJ),"")</f>
        <v>112766.80000001215</v>
      </c>
      <c r="Z85" s="227">
        <f>IFERROR(_xlfn.XLOOKUP($A85,'Raw Data'!$A:$A,'Raw Data'!BK:BK),"")</f>
        <v>396.29999999999654</v>
      </c>
      <c r="AA85" s="227">
        <f>IFERROR(_xlfn.XLOOKUP($A85,'Raw Data'!$A:$A,'Raw Data'!BL:BL),"")</f>
        <v>112370.50000001215</v>
      </c>
      <c r="AB85" s="227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27">
        <f>IFERROR(_xlfn.XLOOKUP($D85,'Modelling New'!$D:$D,'Modelling New'!$T:$T)*1000,"")</f>
        <v>91091.690669094809</v>
      </c>
      <c r="AE85" s="234">
        <f>IFERROR(_xlfn.XLOOKUP($D85,'Modelling New'!$D:$D,'Modelling New'!$O:$O),"")</f>
        <v>0.73158446710143066</v>
      </c>
      <c r="AF85" s="234">
        <f>IFERROR(_xlfn.XLOOKUP($D85,'Modelling New'!$D:$D,'Modelling New'!$W:$W),"")</f>
        <v>0.15617296193540262</v>
      </c>
      <c r="AG85" s="234">
        <f>IFERROR(_xlfn.XLOOKUP($D85,'Modelling New'!$D:$D,'Modelling New'!AE:AE),"")</f>
        <v>0.995</v>
      </c>
      <c r="AH85" s="234">
        <v>0.99750000000000005</v>
      </c>
      <c r="AI85" s="6"/>
      <c r="AJ85" s="6"/>
      <c r="AK85" s="6"/>
      <c r="AL85" s="6"/>
      <c r="AM85" s="6"/>
      <c r="AN85" s="231"/>
      <c r="AO85" s="234"/>
      <c r="AP85" s="234"/>
      <c r="AQ85" s="234"/>
      <c r="AR85" s="227">
        <f>IFERROR(_xlfn.XLOOKUP($D85,'Modelling New'!$D:$D,'Modelling New'!$N:$N),"")</f>
        <v>24.303100000000001</v>
      </c>
      <c r="AS85" s="227"/>
    </row>
    <row r="86" spans="1:45" x14ac:dyDescent="0.35">
      <c r="A86" s="226">
        <f t="shared" si="9"/>
        <v>45829</v>
      </c>
      <c r="B86" s="227">
        <f>YEAR(Daily_KPI[[#This Row],[Date]])+IF(MONTH(Daily_KPI[[#This Row],[Date]])&gt;=4,1,0)</f>
        <v>2026</v>
      </c>
      <c r="C86" s="6">
        <f>YEAR(Daily_KPI[[#This Row],[Date]])</f>
        <v>2025</v>
      </c>
      <c r="D86" s="228">
        <f>Daily_KPI[[#This Row],[Date]]-DAY(Daily_KPI[[#This Row],[Date]])+1</f>
        <v>45809</v>
      </c>
      <c r="E86" s="6">
        <f t="shared" si="7"/>
        <v>30</v>
      </c>
      <c r="F86" s="229">
        <f>IFERROR(_xlfn.XLOOKUP($A86,'Raw Data'!$A:$A,'Raw Data'!$BR:$BR),"")</f>
        <v>12.733333333333334</v>
      </c>
      <c r="G86" s="230">
        <f>IFERROR(_xlfn.XLOOKUP($A86,'Raw Data'!$A:$A,'Raw Data'!$AO:$AO),"")</f>
        <v>0</v>
      </c>
      <c r="H86" s="230"/>
      <c r="I86" s="230">
        <f>IFERROR(_xlfn.XLOOKUP($A86,'Raw Data'!$A:$A,'Raw Data'!$AR:$AR),"")</f>
        <v>5.7962022652388789</v>
      </c>
      <c r="J86" s="230"/>
      <c r="K86" s="230">
        <f>IFERROR(_xlfn.XLOOKUP($A86,'Raw Data'!$A:$A,'Raw Data'!$AV:$AV),"")</f>
        <v>0</v>
      </c>
      <c r="L86" s="230">
        <f>IFERROR(_xlfn.XLOOKUP($A86,'Raw Data'!$A:$A,'Raw Data'!$AW:$AW),"")</f>
        <v>0</v>
      </c>
      <c r="M86" s="230">
        <f>IFERROR(_xlfn.XLOOKUP($A86,'Raw Data'!$A:$A,'Raw Data'!$AX:$AX),"")</f>
        <v>0</v>
      </c>
      <c r="N86" s="230">
        <f>IFERROR(_xlfn.XLOOKUP($A86,'Raw Data'!$A:$A,'Raw Data'!$AY:$AY),"")</f>
        <v>0</v>
      </c>
      <c r="O86" s="231">
        <f>IFERROR(1-(SUMIF('Plant BD'!$B:$B,A86,'Plant BD'!$AE:$AE)/(AA86+SUMIF('Plant BD'!$B:$B,A86,'Plant BD'!$AE:$AE))),"")</f>
        <v>1</v>
      </c>
      <c r="P86" s="231"/>
      <c r="Q86" s="232"/>
      <c r="R86" s="231">
        <f>IFERROR(1-(SUMIF('Grid BD'!$B:$B,$A86,'Grid BD'!$AD:$AD)/($AA86+SUMIF('Grid BD'!$B:$B,$A86,'Grid BD'!AD:AD))),"")</f>
        <v>1</v>
      </c>
      <c r="S86" s="6"/>
      <c r="T86" s="232"/>
      <c r="U86" s="233">
        <f t="shared" si="8"/>
        <v>0.80158202748143237</v>
      </c>
      <c r="V86" s="233"/>
      <c r="W86" s="234">
        <f t="shared" si="6"/>
        <v>0.19358881514427717</v>
      </c>
      <c r="X86" s="227">
        <f>IFERROR(_xlfn.XLOOKUP($A86,'Raw Data'!$A:$A,'Raw Data'!$BA:$BA),"")</f>
        <v>114379</v>
      </c>
      <c r="Y86" s="227">
        <f>IFERROR(_xlfn.XLOOKUP($A86,'Raw Data'!$A:$A,'Raw Data'!BJ:BJ),"")</f>
        <v>113789.59999998915</v>
      </c>
      <c r="Z86" s="227">
        <f>IFERROR(_xlfn.XLOOKUP($A86,'Raw Data'!$A:$A,'Raw Data'!BK:BK),"")</f>
        <v>874.19999999997344</v>
      </c>
      <c r="AA86" s="227">
        <f>IFERROR(_xlfn.XLOOKUP($A86,'Raw Data'!$A:$A,'Raw Data'!BL:BL),"")</f>
        <v>112915.39999998918</v>
      </c>
      <c r="AB86" s="227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27">
        <f>IFERROR(_xlfn.XLOOKUP($D86,'Modelling New'!$D:$D,'Modelling New'!$T:$T)*1000,"")</f>
        <v>91091.690669094809</v>
      </c>
      <c r="AE86" s="234">
        <f>IFERROR(_xlfn.XLOOKUP($D86,'Modelling New'!$D:$D,'Modelling New'!$O:$O),"")</f>
        <v>0.73158446710143066</v>
      </c>
      <c r="AF86" s="234">
        <f>IFERROR(_xlfn.XLOOKUP($D86,'Modelling New'!$D:$D,'Modelling New'!$W:$W),"")</f>
        <v>0.15617296193540262</v>
      </c>
      <c r="AG86" s="234">
        <f>IFERROR(_xlfn.XLOOKUP($D86,'Modelling New'!$D:$D,'Modelling New'!AE:AE),"")</f>
        <v>0.995</v>
      </c>
      <c r="AH86" s="234">
        <v>0.99750000000000005</v>
      </c>
      <c r="AI86" s="6"/>
      <c r="AJ86" s="6"/>
      <c r="AK86" s="6"/>
      <c r="AL86" s="6"/>
      <c r="AM86" s="6"/>
      <c r="AN86" s="231"/>
      <c r="AO86" s="234"/>
      <c r="AP86" s="234"/>
      <c r="AQ86" s="234"/>
      <c r="AR86" s="227">
        <f>IFERROR(_xlfn.XLOOKUP($D86,'Modelling New'!$D:$D,'Modelling New'!$N:$N),"")</f>
        <v>24.303100000000001</v>
      </c>
      <c r="AS86" s="227"/>
    </row>
    <row r="87" spans="1:45" x14ac:dyDescent="0.35">
      <c r="A87" s="226">
        <f t="shared" si="9"/>
        <v>45830</v>
      </c>
      <c r="B87" s="227">
        <f>YEAR(Daily_KPI[[#This Row],[Date]])+IF(MONTH(Daily_KPI[[#This Row],[Date]])&gt;=4,1,0)</f>
        <v>2026</v>
      </c>
      <c r="C87" s="6">
        <f>YEAR(Daily_KPI[[#This Row],[Date]])</f>
        <v>2025</v>
      </c>
      <c r="D87" s="228">
        <f>Daily_KPI[[#This Row],[Date]]-DAY(Daily_KPI[[#This Row],[Date]])+1</f>
        <v>45809</v>
      </c>
      <c r="E87" s="6">
        <f t="shared" si="7"/>
        <v>30</v>
      </c>
      <c r="F87" s="229">
        <f>IFERROR(_xlfn.XLOOKUP($A87,'Raw Data'!$A:$A,'Raw Data'!$BR:$BR),"")</f>
        <v>12.433333333333332</v>
      </c>
      <c r="G87" s="230">
        <f>IFERROR(_xlfn.XLOOKUP($A87,'Raw Data'!$A:$A,'Raw Data'!$AO:$AO),"")</f>
        <v>0</v>
      </c>
      <c r="H87" s="230"/>
      <c r="I87" s="230">
        <f>IFERROR(_xlfn.XLOOKUP($A87,'Raw Data'!$A:$A,'Raw Data'!$AR:$AR),"")</f>
        <v>4.4269292421746282</v>
      </c>
      <c r="J87" s="230"/>
      <c r="K87" s="230">
        <f>IFERROR(_xlfn.XLOOKUP($A87,'Raw Data'!$A:$A,'Raw Data'!$AV:$AV),"")</f>
        <v>0</v>
      </c>
      <c r="L87" s="230">
        <f>IFERROR(_xlfn.XLOOKUP($A87,'Raw Data'!$A:$A,'Raw Data'!$AW:$AW),"")</f>
        <v>0</v>
      </c>
      <c r="M87" s="230">
        <f>IFERROR(_xlfn.XLOOKUP($A87,'Raw Data'!$A:$A,'Raw Data'!$AX:$AX),"")</f>
        <v>0</v>
      </c>
      <c r="N87" s="230">
        <f>IFERROR(_xlfn.XLOOKUP($A87,'Raw Data'!$A:$A,'Raw Data'!$AY:$AY),"")</f>
        <v>0</v>
      </c>
      <c r="O87" s="231">
        <f>IFERROR(1-(SUMIF('Plant BD'!$B:$B,A87,'Plant BD'!$AE:$AE)/(AA87+SUMIF('Plant BD'!$B:$B,A87,'Plant BD'!$AE:$AE))),"")</f>
        <v>0.99386552234525993</v>
      </c>
      <c r="P87" s="231"/>
      <c r="Q87" s="232"/>
      <c r="R87" s="231">
        <f>IFERROR(1-(SUMIF('Grid BD'!$B:$B,$A87,'Grid BD'!$AD:$AD)/($AA87+SUMIF('Grid BD'!$B:$B,$A87,'Grid BD'!AD:AD))),"")</f>
        <v>1</v>
      </c>
      <c r="S87" s="6"/>
      <c r="T87" s="232"/>
      <c r="U87" s="233">
        <f t="shared" si="8"/>
        <v>0.85115822790456219</v>
      </c>
      <c r="V87" s="233"/>
      <c r="W87" s="234">
        <f t="shared" si="6"/>
        <v>0.15700071870117679</v>
      </c>
      <c r="X87" s="227">
        <f>IFERROR(_xlfn.XLOOKUP($A87,'Raw Data'!$A:$A,'Raw Data'!$BA:$BA),"")</f>
        <v>93018</v>
      </c>
      <c r="Y87" s="227">
        <f>IFERROR(_xlfn.XLOOKUP($A87,'Raw Data'!$A:$A,'Raw Data'!BJ:BJ),"")</f>
        <v>92372.499999997672</v>
      </c>
      <c r="Z87" s="227">
        <f>IFERROR(_xlfn.XLOOKUP($A87,'Raw Data'!$A:$A,'Raw Data'!BK:BK),"")</f>
        <v>798.00000000000182</v>
      </c>
      <c r="AA87" s="227">
        <f>IFERROR(_xlfn.XLOOKUP($A87,'Raw Data'!$A:$A,'Raw Data'!BL:BL),"")</f>
        <v>91574.499999997672</v>
      </c>
      <c r="AB87" s="227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27">
        <f>IFERROR(_xlfn.XLOOKUP($D87,'Modelling New'!$D:$D,'Modelling New'!$T:$T)*1000,"")</f>
        <v>91091.690669094809</v>
      </c>
      <c r="AE87" s="234">
        <f>IFERROR(_xlfn.XLOOKUP($D87,'Modelling New'!$D:$D,'Modelling New'!$O:$O),"")</f>
        <v>0.73158446710143066</v>
      </c>
      <c r="AF87" s="234">
        <f>IFERROR(_xlfn.XLOOKUP($D87,'Modelling New'!$D:$D,'Modelling New'!$W:$W),"")</f>
        <v>0.15617296193540262</v>
      </c>
      <c r="AG87" s="234">
        <f>IFERROR(_xlfn.XLOOKUP($D87,'Modelling New'!$D:$D,'Modelling New'!AE:AE),"")</f>
        <v>0.995</v>
      </c>
      <c r="AH87" s="234">
        <v>0.99750000000000005</v>
      </c>
      <c r="AI87" s="6"/>
      <c r="AJ87" s="6"/>
      <c r="AK87" s="6"/>
      <c r="AL87" s="6"/>
      <c r="AM87" s="6"/>
      <c r="AN87" s="231"/>
      <c r="AO87" s="234"/>
      <c r="AP87" s="234"/>
      <c r="AQ87" s="234"/>
      <c r="AR87" s="227">
        <f>IFERROR(_xlfn.XLOOKUP($D87,'Modelling New'!$D:$D,'Modelling New'!$N:$N),"")</f>
        <v>24.303100000000001</v>
      </c>
      <c r="AS87" s="227"/>
    </row>
    <row r="88" spans="1:45" x14ac:dyDescent="0.35">
      <c r="A88" s="226">
        <f t="shared" si="9"/>
        <v>45831</v>
      </c>
      <c r="B88" s="227">
        <f>YEAR(Daily_KPI[[#This Row],[Date]])+IF(MONTH(Daily_KPI[[#This Row],[Date]])&gt;=4,1,0)</f>
        <v>2026</v>
      </c>
      <c r="C88" s="6">
        <f>YEAR(Daily_KPI[[#This Row],[Date]])</f>
        <v>2025</v>
      </c>
      <c r="D88" s="228">
        <f>Daily_KPI[[#This Row],[Date]]-DAY(Daily_KPI[[#This Row],[Date]])+1</f>
        <v>45809</v>
      </c>
      <c r="E88" s="6">
        <f t="shared" si="7"/>
        <v>30</v>
      </c>
      <c r="F88" s="229">
        <f>IFERROR(_xlfn.XLOOKUP($A88,'Raw Data'!$A:$A,'Raw Data'!$BR:$BR),"")</f>
        <v>12.499999999999998</v>
      </c>
      <c r="G88" s="230">
        <f>IFERROR(_xlfn.XLOOKUP($A88,'Raw Data'!$A:$A,'Raw Data'!$AO:$AO),"")</f>
        <v>0</v>
      </c>
      <c r="H88" s="230"/>
      <c r="I88" s="230">
        <f>IFERROR(_xlfn.XLOOKUP($A88,'Raw Data'!$A:$A,'Raw Data'!$AR:$AR),"")</f>
        <v>4.8382190280065895</v>
      </c>
      <c r="J88" s="230"/>
      <c r="K88" s="230">
        <f>IFERROR(_xlfn.XLOOKUP($A88,'Raw Data'!$A:$A,'Raw Data'!$AV:$AV),"")</f>
        <v>0</v>
      </c>
      <c r="L88" s="230">
        <f>IFERROR(_xlfn.XLOOKUP($A88,'Raw Data'!$A:$A,'Raw Data'!$AW:$AW),"")</f>
        <v>0</v>
      </c>
      <c r="M88" s="230">
        <f>IFERROR(_xlfn.XLOOKUP($A88,'Raw Data'!$A:$A,'Raw Data'!$AX:$AX),"")</f>
        <v>0</v>
      </c>
      <c r="N88" s="230">
        <f>IFERROR(_xlfn.XLOOKUP($A88,'Raw Data'!$A:$A,'Raw Data'!$AY:$AY),"")</f>
        <v>0</v>
      </c>
      <c r="O88" s="231">
        <f>IFERROR(1-(SUMIF('Plant BD'!$B:$B,A88,'Plant BD'!$AE:$AE)/(AA88+SUMIF('Plant BD'!$B:$B,A88,'Plant BD'!$AE:$AE))),"")</f>
        <v>0.9929483595648585</v>
      </c>
      <c r="P88" s="231"/>
      <c r="Q88" s="232"/>
      <c r="R88" s="231">
        <f>IFERROR(1-(SUMIF('Grid BD'!$B:$B,$A88,'Grid BD'!$AD:$AD)/($AA88+SUMIF('Grid BD'!$B:$B,$A88,'Grid BD'!AD:AD))),"")</f>
        <v>1</v>
      </c>
      <c r="S88" s="6"/>
      <c r="T88" s="232"/>
      <c r="U88" s="233">
        <f t="shared" si="8"/>
        <v>0.83922076354319308</v>
      </c>
      <c r="V88" s="233"/>
      <c r="W88" s="234">
        <f t="shared" si="6"/>
        <v>0.16918057778637066</v>
      </c>
      <c r="X88" s="227">
        <f>IFERROR(_xlfn.XLOOKUP($A88,'Raw Data'!$A:$A,'Raw Data'!$BA:$BA),"")</f>
        <v>100405</v>
      </c>
      <c r="Y88" s="227">
        <f>IFERROR(_xlfn.XLOOKUP($A88,'Raw Data'!$A:$A,'Raw Data'!BJ:BJ),"")</f>
        <v>99539.79999999865</v>
      </c>
      <c r="Z88" s="227">
        <f>IFERROR(_xlfn.XLOOKUP($A88,'Raw Data'!$A:$A,'Raw Data'!BK:BK),"")</f>
        <v>861.09999999996489</v>
      </c>
      <c r="AA88" s="227">
        <f>IFERROR(_xlfn.XLOOKUP($A88,'Raw Data'!$A:$A,'Raw Data'!BL:BL),"")</f>
        <v>98678.699999998687</v>
      </c>
      <c r="AB88" s="227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27">
        <f>IFERROR(_xlfn.XLOOKUP($D88,'Modelling New'!$D:$D,'Modelling New'!$T:$T)*1000,"")</f>
        <v>91091.690669094809</v>
      </c>
      <c r="AE88" s="234">
        <f>IFERROR(_xlfn.XLOOKUP($D88,'Modelling New'!$D:$D,'Modelling New'!$O:$O),"")</f>
        <v>0.73158446710143066</v>
      </c>
      <c r="AF88" s="234">
        <f>IFERROR(_xlfn.XLOOKUP($D88,'Modelling New'!$D:$D,'Modelling New'!$W:$W),"")</f>
        <v>0.15617296193540262</v>
      </c>
      <c r="AG88" s="234">
        <f>IFERROR(_xlfn.XLOOKUP($D88,'Modelling New'!$D:$D,'Modelling New'!AE:AE),"")</f>
        <v>0.995</v>
      </c>
      <c r="AH88" s="234">
        <v>0.99750000000000005</v>
      </c>
      <c r="AI88" s="6"/>
      <c r="AJ88" s="6"/>
      <c r="AK88" s="6"/>
      <c r="AL88" s="6"/>
      <c r="AM88" s="6"/>
      <c r="AN88" s="231"/>
      <c r="AO88" s="234"/>
      <c r="AP88" s="234"/>
      <c r="AQ88" s="234"/>
      <c r="AR88" s="227">
        <f>IFERROR(_xlfn.XLOOKUP($D88,'Modelling New'!$D:$D,'Modelling New'!$N:$N),"")</f>
        <v>24.303100000000001</v>
      </c>
      <c r="AS88" s="227"/>
    </row>
    <row r="89" spans="1:45" x14ac:dyDescent="0.35">
      <c r="A89" s="226">
        <f t="shared" si="9"/>
        <v>45832</v>
      </c>
      <c r="B89" s="227">
        <f>YEAR(Daily_KPI[[#This Row],[Date]])+IF(MONTH(Daily_KPI[[#This Row],[Date]])&gt;=4,1,0)</f>
        <v>2026</v>
      </c>
      <c r="C89" s="6">
        <f>YEAR(Daily_KPI[[#This Row],[Date]])</f>
        <v>2025</v>
      </c>
      <c r="D89" s="228">
        <f>Daily_KPI[[#This Row],[Date]]-DAY(Daily_KPI[[#This Row],[Date]])+1</f>
        <v>45809</v>
      </c>
      <c r="E89" s="6">
        <f t="shared" si="7"/>
        <v>30</v>
      </c>
      <c r="F89" s="229">
        <f>IFERROR(_xlfn.XLOOKUP($A89,'Raw Data'!$A:$A,'Raw Data'!$BR:$BR),"")</f>
        <v>11.833333333333332</v>
      </c>
      <c r="G89" s="230">
        <f>IFERROR(_xlfn.XLOOKUP($A89,'Raw Data'!$A:$A,'Raw Data'!$AO:$AO),"")</f>
        <v>0</v>
      </c>
      <c r="H89" s="230"/>
      <c r="I89" s="230">
        <f>IFERROR(_xlfn.XLOOKUP($A89,'Raw Data'!$A:$A,'Raw Data'!$AR:$AR),"")</f>
        <v>3.5884707166392089</v>
      </c>
      <c r="J89" s="230"/>
      <c r="K89" s="230">
        <f>IFERROR(_xlfn.XLOOKUP($A89,'Raw Data'!$A:$A,'Raw Data'!$AV:$AV),"")</f>
        <v>0</v>
      </c>
      <c r="L89" s="230">
        <f>IFERROR(_xlfn.XLOOKUP($A89,'Raw Data'!$A:$A,'Raw Data'!$AW:$AW),"")</f>
        <v>0</v>
      </c>
      <c r="M89" s="230">
        <f>IFERROR(_xlfn.XLOOKUP($A89,'Raw Data'!$A:$A,'Raw Data'!$AX:$AX),"")</f>
        <v>0</v>
      </c>
      <c r="N89" s="230">
        <f>IFERROR(_xlfn.XLOOKUP($A89,'Raw Data'!$A:$A,'Raw Data'!$AY:$AY),"")</f>
        <v>0</v>
      </c>
      <c r="O89" s="231">
        <f>IFERROR(1-(SUMIF('Plant BD'!$B:$B,A89,'Plant BD'!$AE:$AE)/(AA89+SUMIF('Plant BD'!$B:$B,A89,'Plant BD'!$AE:$AE))),"")</f>
        <v>0.9736459149574791</v>
      </c>
      <c r="P89" s="231"/>
      <c r="Q89" s="232"/>
      <c r="R89" s="231">
        <f>IFERROR(1-(SUMIF('Grid BD'!$B:$B,$A89,'Grid BD'!$AD:$AD)/($AA89+SUMIF('Grid BD'!$B:$B,$A89,'Grid BD'!AD:AD))),"")</f>
        <v>1</v>
      </c>
      <c r="S89" s="6"/>
      <c r="T89" s="232"/>
      <c r="U89" s="233">
        <f t="shared" si="8"/>
        <v>0.81997604209112906</v>
      </c>
      <c r="V89" s="233"/>
      <c r="W89" s="234">
        <f t="shared" si="6"/>
        <v>0.12260250064123901</v>
      </c>
      <c r="X89" s="227">
        <f>IFERROR(_xlfn.XLOOKUP($A89,'Raw Data'!$A:$A,'Raw Data'!$BA:$BA),"")</f>
        <v>72504</v>
      </c>
      <c r="Y89" s="227">
        <f>IFERROR(_xlfn.XLOOKUP($A89,'Raw Data'!$A:$A,'Raw Data'!BJ:BJ),"")</f>
        <v>72630.9000000183</v>
      </c>
      <c r="Z89" s="227">
        <f>IFERROR(_xlfn.XLOOKUP($A89,'Raw Data'!$A:$A,'Raw Data'!BK:BK),"")</f>
        <v>1120.0000000000045</v>
      </c>
      <c r="AA89" s="227">
        <f>IFERROR(_xlfn.XLOOKUP($A89,'Raw Data'!$A:$A,'Raw Data'!BL:BL),"")</f>
        <v>71510.9000000183</v>
      </c>
      <c r="AB89" s="227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27">
        <f>IFERROR(_xlfn.XLOOKUP($D89,'Modelling New'!$D:$D,'Modelling New'!$T:$T)*1000,"")</f>
        <v>91091.690669094809</v>
      </c>
      <c r="AE89" s="234">
        <f>IFERROR(_xlfn.XLOOKUP($D89,'Modelling New'!$D:$D,'Modelling New'!$O:$O),"")</f>
        <v>0.73158446710143066</v>
      </c>
      <c r="AF89" s="234">
        <f>IFERROR(_xlfn.XLOOKUP($D89,'Modelling New'!$D:$D,'Modelling New'!$W:$W),"")</f>
        <v>0.15617296193540262</v>
      </c>
      <c r="AG89" s="234">
        <f>IFERROR(_xlfn.XLOOKUP($D89,'Modelling New'!$D:$D,'Modelling New'!AE:AE),"")</f>
        <v>0.995</v>
      </c>
      <c r="AH89" s="234">
        <v>0.99750000000000005</v>
      </c>
      <c r="AI89" s="6"/>
      <c r="AJ89" s="6"/>
      <c r="AK89" s="6"/>
      <c r="AL89" s="6"/>
      <c r="AM89" s="6"/>
      <c r="AN89" s="231"/>
      <c r="AO89" s="234"/>
      <c r="AP89" s="234"/>
      <c r="AQ89" s="234"/>
      <c r="AR89" s="227">
        <f>IFERROR(_xlfn.XLOOKUP($D89,'Modelling New'!$D:$D,'Modelling New'!$N:$N),"")</f>
        <v>24.303100000000001</v>
      </c>
      <c r="AS89" s="227"/>
    </row>
    <row r="90" spans="1:45" x14ac:dyDescent="0.35">
      <c r="A90" s="226">
        <f t="shared" si="9"/>
        <v>45833</v>
      </c>
      <c r="B90" s="227">
        <f>YEAR(Daily_KPI[[#This Row],[Date]])+IF(MONTH(Daily_KPI[[#This Row],[Date]])&gt;=4,1,0)</f>
        <v>2026</v>
      </c>
      <c r="C90" s="6">
        <f>YEAR(Daily_KPI[[#This Row],[Date]])</f>
        <v>2025</v>
      </c>
      <c r="D90" s="228">
        <f>Daily_KPI[[#This Row],[Date]]-DAY(Daily_KPI[[#This Row],[Date]])+1</f>
        <v>45809</v>
      </c>
      <c r="E90" s="6">
        <f t="shared" si="7"/>
        <v>30</v>
      </c>
      <c r="F90" s="229">
        <f>IFERROR(_xlfn.XLOOKUP($A90,'Raw Data'!$A:$A,'Raw Data'!$BR:$BR),"")</f>
        <v>12.183333333333334</v>
      </c>
      <c r="G90" s="230">
        <f>IFERROR(_xlfn.XLOOKUP($A90,'Raw Data'!$A:$A,'Raw Data'!$AO:$AO),"")</f>
        <v>0</v>
      </c>
      <c r="H90" s="230"/>
      <c r="I90" s="230">
        <f>IFERROR(_xlfn.XLOOKUP($A90,'Raw Data'!$A:$A,'Raw Data'!$AR:$AR),"")</f>
        <v>2.5543703459637559</v>
      </c>
      <c r="J90" s="230"/>
      <c r="K90" s="230">
        <f>IFERROR(_xlfn.XLOOKUP($A90,'Raw Data'!$A:$A,'Raw Data'!$AV:$AV),"")</f>
        <v>0</v>
      </c>
      <c r="L90" s="230">
        <f>IFERROR(_xlfn.XLOOKUP($A90,'Raw Data'!$A:$A,'Raw Data'!$AW:$AW),"")</f>
        <v>0</v>
      </c>
      <c r="M90" s="230">
        <f>IFERROR(_xlfn.XLOOKUP($A90,'Raw Data'!$A:$A,'Raw Data'!$AX:$AX),"")</f>
        <v>0</v>
      </c>
      <c r="N90" s="230">
        <f>IFERROR(_xlfn.XLOOKUP($A90,'Raw Data'!$A:$A,'Raw Data'!$AY:$AY),"")</f>
        <v>0</v>
      </c>
      <c r="O90" s="231">
        <f>IFERROR(1-(SUMIF('Plant BD'!$B:$B,A90,'Plant BD'!$AE:$AE)/(AA90+SUMIF('Plant BD'!$B:$B,A90,'Plant BD'!$AE:$AE))),"")</f>
        <v>0.9952714567041786</v>
      </c>
      <c r="P90" s="231"/>
      <c r="Q90" s="232"/>
      <c r="R90" s="231">
        <f>IFERROR(1-(SUMIF('Grid BD'!$B:$B,$A90,'Grid BD'!$AD:$AD)/($AA90+SUMIF('Grid BD'!$B:$B,$A90,'Grid BD'!AD:AD))),"")</f>
        <v>1</v>
      </c>
      <c r="S90" s="6"/>
      <c r="T90" s="232"/>
      <c r="U90" s="233">
        <f t="shared" si="8"/>
        <v>0.85644258087803848</v>
      </c>
      <c r="V90" s="233"/>
      <c r="W90" s="234">
        <f t="shared" si="6"/>
        <v>9.1152980483980309E-2</v>
      </c>
      <c r="X90" s="227">
        <f>IFERROR(_xlfn.XLOOKUP($A90,'Raw Data'!$A:$A,'Raw Data'!$BA:$BA),"")</f>
        <v>53535</v>
      </c>
      <c r="Y90" s="227">
        <f>IFERROR(_xlfn.XLOOKUP($A90,'Raw Data'!$A:$A,'Raw Data'!BJ:BJ),"")</f>
        <v>54062.000000005355</v>
      </c>
      <c r="Z90" s="227">
        <f>IFERROR(_xlfn.XLOOKUP($A90,'Raw Data'!$A:$A,'Raw Data'!BK:BK),"")</f>
        <v>894.80000000003201</v>
      </c>
      <c r="AA90" s="227">
        <f>IFERROR(_xlfn.XLOOKUP($A90,'Raw Data'!$A:$A,'Raw Data'!BL:BL),"")</f>
        <v>53167.200000005323</v>
      </c>
      <c r="AB90" s="227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27">
        <f>IFERROR(_xlfn.XLOOKUP($D90,'Modelling New'!$D:$D,'Modelling New'!$T:$T)*1000,"")</f>
        <v>91091.690669094809</v>
      </c>
      <c r="AE90" s="234">
        <f>IFERROR(_xlfn.XLOOKUP($D90,'Modelling New'!$D:$D,'Modelling New'!$O:$O),"")</f>
        <v>0.73158446710143066</v>
      </c>
      <c r="AF90" s="234">
        <f>IFERROR(_xlfn.XLOOKUP($D90,'Modelling New'!$D:$D,'Modelling New'!$W:$W),"")</f>
        <v>0.15617296193540262</v>
      </c>
      <c r="AG90" s="234">
        <f>IFERROR(_xlfn.XLOOKUP($D90,'Modelling New'!$D:$D,'Modelling New'!AE:AE),"")</f>
        <v>0.995</v>
      </c>
      <c r="AH90" s="234">
        <v>0.99750000000000005</v>
      </c>
      <c r="AI90" s="6"/>
      <c r="AJ90" s="6"/>
      <c r="AK90" s="6"/>
      <c r="AL90" s="6"/>
      <c r="AM90" s="6"/>
      <c r="AN90" s="231"/>
      <c r="AO90" s="234"/>
      <c r="AP90" s="234"/>
      <c r="AQ90" s="234"/>
      <c r="AR90" s="227">
        <f>IFERROR(_xlfn.XLOOKUP($D90,'Modelling New'!$D:$D,'Modelling New'!$N:$N),"")</f>
        <v>24.303100000000001</v>
      </c>
      <c r="AS90" s="227"/>
    </row>
    <row r="91" spans="1:45" x14ac:dyDescent="0.35">
      <c r="A91" s="226">
        <f t="shared" si="9"/>
        <v>45834</v>
      </c>
      <c r="B91" s="227">
        <f>YEAR(Daily_KPI[[#This Row],[Date]])+IF(MONTH(Daily_KPI[[#This Row],[Date]])&gt;=4,1,0)</f>
        <v>2026</v>
      </c>
      <c r="C91" s="6">
        <f>YEAR(Daily_KPI[[#This Row],[Date]])</f>
        <v>2025</v>
      </c>
      <c r="D91" s="228">
        <f>Daily_KPI[[#This Row],[Date]]-DAY(Daily_KPI[[#This Row],[Date]])+1</f>
        <v>45809</v>
      </c>
      <c r="E91" s="6">
        <f t="shared" si="7"/>
        <v>30</v>
      </c>
      <c r="F91" s="229">
        <f>IFERROR(_xlfn.XLOOKUP($A91,'Raw Data'!$A:$A,'Raw Data'!$BR:$BR),"")</f>
        <v>11.116666666666665</v>
      </c>
      <c r="G91" s="230">
        <f>IFERROR(_xlfn.XLOOKUP($A91,'Raw Data'!$A:$A,'Raw Data'!$AO:$AO),"")</f>
        <v>0</v>
      </c>
      <c r="H91" s="230"/>
      <c r="I91" s="230">
        <f>IFERROR(_xlfn.XLOOKUP($A91,'Raw Data'!$A:$A,'Raw Data'!$AR:$AR),"")</f>
        <v>1.1844243410214168</v>
      </c>
      <c r="J91" s="230"/>
      <c r="K91" s="230">
        <f>IFERROR(_xlfn.XLOOKUP($A91,'Raw Data'!$A:$A,'Raw Data'!$AV:$AV),"")</f>
        <v>0</v>
      </c>
      <c r="L91" s="230">
        <f>IFERROR(_xlfn.XLOOKUP($A91,'Raw Data'!$A:$A,'Raw Data'!$AW:$AW),"")</f>
        <v>0</v>
      </c>
      <c r="M91" s="230">
        <f>IFERROR(_xlfn.XLOOKUP($A91,'Raw Data'!$A:$A,'Raw Data'!$AX:$AX),"")</f>
        <v>0</v>
      </c>
      <c r="N91" s="230">
        <f>IFERROR(_xlfn.XLOOKUP($A91,'Raw Data'!$A:$A,'Raw Data'!$AY:$AY),"")</f>
        <v>0</v>
      </c>
      <c r="O91" s="231">
        <f>IFERROR(1-(SUMIF('Plant BD'!$B:$B,A91,'Plant BD'!$AE:$AE)/(AA91+SUMIF('Plant BD'!$B:$B,A91,'Plant BD'!$AE:$AE))),"")</f>
        <v>0.57691846096354582</v>
      </c>
      <c r="P91" s="231"/>
      <c r="Q91" s="232"/>
      <c r="R91" s="231">
        <f>IFERROR(1-(SUMIF('Grid BD'!$B:$B,$A91,'Grid BD'!$AD:$AD)/($AA91+SUMIF('Grid BD'!$B:$B,$A91,'Grid BD'!AD:AD))),"")</f>
        <v>1</v>
      </c>
      <c r="S91" s="6"/>
      <c r="T91" s="232"/>
      <c r="U91" s="233">
        <f t="shared" si="8"/>
        <v>0.5613794390832334</v>
      </c>
      <c r="V91" s="233"/>
      <c r="W91" s="234">
        <f t="shared" si="6"/>
        <v>2.7704644674963804E-2</v>
      </c>
      <c r="X91" s="227">
        <f>IFERROR(_xlfn.XLOOKUP($A91,'Raw Data'!$A:$A,'Raw Data'!$BA:$BA),"")</f>
        <v>16584.2</v>
      </c>
      <c r="Y91" s="227">
        <f>IFERROR(_xlfn.XLOOKUP($A91,'Raw Data'!$A:$A,'Raw Data'!BJ:BJ),"")</f>
        <v>16945.890000002692</v>
      </c>
      <c r="Z91" s="227">
        <f>IFERROR(_xlfn.XLOOKUP($A91,'Raw Data'!$A:$A,'Raw Data'!BK:BK),"")</f>
        <v>786.47999999998319</v>
      </c>
      <c r="AA91" s="227">
        <f>IFERROR(_xlfn.XLOOKUP($A91,'Raw Data'!$A:$A,'Raw Data'!BL:BL),"")</f>
        <v>16159.410000002708</v>
      </c>
      <c r="AB91" s="227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27">
        <f>IFERROR(_xlfn.XLOOKUP($D91,'Modelling New'!$D:$D,'Modelling New'!$T:$T)*1000,"")</f>
        <v>91091.690669094809</v>
      </c>
      <c r="AE91" s="234">
        <f>IFERROR(_xlfn.XLOOKUP($D91,'Modelling New'!$D:$D,'Modelling New'!$O:$O),"")</f>
        <v>0.73158446710143066</v>
      </c>
      <c r="AF91" s="234">
        <f>IFERROR(_xlfn.XLOOKUP($D91,'Modelling New'!$D:$D,'Modelling New'!$W:$W),"")</f>
        <v>0.15617296193540262</v>
      </c>
      <c r="AG91" s="234">
        <f>IFERROR(_xlfn.XLOOKUP($D91,'Modelling New'!$D:$D,'Modelling New'!AE:AE),"")</f>
        <v>0.995</v>
      </c>
      <c r="AH91" s="234">
        <v>0.99750000000000005</v>
      </c>
      <c r="AI91" s="6"/>
      <c r="AJ91" s="6"/>
      <c r="AK91" s="6"/>
      <c r="AL91" s="6"/>
      <c r="AM91" s="6"/>
      <c r="AN91" s="231"/>
      <c r="AO91" s="234"/>
      <c r="AP91" s="234"/>
      <c r="AQ91" s="234"/>
      <c r="AR91" s="227">
        <f>IFERROR(_xlfn.XLOOKUP($D91,'Modelling New'!$D:$D,'Modelling New'!$N:$N),"")</f>
        <v>24.303100000000001</v>
      </c>
      <c r="AS91" s="227"/>
    </row>
    <row r="92" spans="1:45" x14ac:dyDescent="0.35">
      <c r="A92" s="226">
        <f t="shared" si="9"/>
        <v>45835</v>
      </c>
      <c r="B92" s="227">
        <f>YEAR(Daily_KPI[[#This Row],[Date]])+IF(MONTH(Daily_KPI[[#This Row],[Date]])&gt;=4,1,0)</f>
        <v>2026</v>
      </c>
      <c r="C92" s="6">
        <f>YEAR(Daily_KPI[[#This Row],[Date]])</f>
        <v>2025</v>
      </c>
      <c r="D92" s="228">
        <f>Daily_KPI[[#This Row],[Date]]-DAY(Daily_KPI[[#This Row],[Date]])+1</f>
        <v>45809</v>
      </c>
      <c r="E92" s="6">
        <f t="shared" si="7"/>
        <v>30</v>
      </c>
      <c r="F92" s="229">
        <f>IFERROR(_xlfn.XLOOKUP($A92,'Raw Data'!$A:$A,'Raw Data'!$BR:$BR),"")</f>
        <v>12.533333333333331</v>
      </c>
      <c r="G92" s="230">
        <f>IFERROR(_xlfn.XLOOKUP($A92,'Raw Data'!$A:$A,'Raw Data'!$AO:$AO),"")</f>
        <v>0</v>
      </c>
      <c r="H92" s="230"/>
      <c r="I92" s="230">
        <f>IFERROR(_xlfn.XLOOKUP($A92,'Raw Data'!$A:$A,'Raw Data'!$AR:$AR),"")</f>
        <v>5.3027300247116962</v>
      </c>
      <c r="J92" s="230"/>
      <c r="K92" s="230">
        <f>IFERROR(_xlfn.XLOOKUP($A92,'Raw Data'!$A:$A,'Raw Data'!$AV:$AV),"")</f>
        <v>0</v>
      </c>
      <c r="L92" s="230">
        <f>IFERROR(_xlfn.XLOOKUP($A92,'Raw Data'!$A:$A,'Raw Data'!$AW:$AW),"")</f>
        <v>0</v>
      </c>
      <c r="M92" s="230">
        <f>IFERROR(_xlfn.XLOOKUP($A92,'Raw Data'!$A:$A,'Raw Data'!$AX:$AX),"")</f>
        <v>0</v>
      </c>
      <c r="N92" s="230">
        <f>IFERROR(_xlfn.XLOOKUP($A92,'Raw Data'!$A:$A,'Raw Data'!$AY:$AY),"")</f>
        <v>0</v>
      </c>
      <c r="O92" s="231">
        <f>IFERROR(1-(SUMIF('Plant BD'!$B:$B,A92,'Plant BD'!$AE:$AE)/(AA92+SUMIF('Plant BD'!$B:$B,A92,'Plant BD'!$AE:$AE))),"")</f>
        <v>0.95626650000493407</v>
      </c>
      <c r="P92" s="231"/>
      <c r="Q92" s="232"/>
      <c r="R92" s="231">
        <f>IFERROR(1-(SUMIF('Grid BD'!$B:$B,$A92,'Grid BD'!$AD:$AD)/($AA92+SUMIF('Grid BD'!$B:$B,$A92,'Grid BD'!AD:AD))),"")</f>
        <v>1</v>
      </c>
      <c r="S92" s="6"/>
      <c r="T92" s="232"/>
      <c r="U92" s="233">
        <f t="shared" si="8"/>
        <v>0.77225921172357326</v>
      </c>
      <c r="V92" s="233"/>
      <c r="W92" s="234">
        <f t="shared" si="6"/>
        <v>0.17062842120278246</v>
      </c>
      <c r="X92" s="227">
        <f>IFERROR(_xlfn.XLOOKUP($A92,'Raw Data'!$A:$A,'Raw Data'!$BA:$BA),"")</f>
        <v>101003.5</v>
      </c>
      <c r="Y92" s="227">
        <f>IFERROR(_xlfn.XLOOKUP($A92,'Raw Data'!$A:$A,'Raw Data'!BJ:BJ),"")</f>
        <v>100772.31000000029</v>
      </c>
      <c r="Z92" s="227">
        <f>IFERROR(_xlfn.XLOOKUP($A92,'Raw Data'!$A:$A,'Raw Data'!BK:BK),"")</f>
        <v>1249.1200000000617</v>
      </c>
      <c r="AA92" s="227">
        <f>IFERROR(_xlfn.XLOOKUP($A92,'Raw Data'!$A:$A,'Raw Data'!BL:BL),"")</f>
        <v>99523.190000000221</v>
      </c>
      <c r="AB92" s="227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27">
        <f>IFERROR(_xlfn.XLOOKUP($D92,'Modelling New'!$D:$D,'Modelling New'!$T:$T)*1000,"")</f>
        <v>91091.690669094809</v>
      </c>
      <c r="AE92" s="234">
        <f>IFERROR(_xlfn.XLOOKUP($D92,'Modelling New'!$D:$D,'Modelling New'!$O:$O),"")</f>
        <v>0.73158446710143066</v>
      </c>
      <c r="AF92" s="234">
        <f>IFERROR(_xlfn.XLOOKUP($D92,'Modelling New'!$D:$D,'Modelling New'!$W:$W),"")</f>
        <v>0.15617296193540262</v>
      </c>
      <c r="AG92" s="234">
        <f>IFERROR(_xlfn.XLOOKUP($D92,'Modelling New'!$D:$D,'Modelling New'!AE:AE),"")</f>
        <v>0.995</v>
      </c>
      <c r="AH92" s="234">
        <v>0.99750000000000005</v>
      </c>
      <c r="AI92" s="6"/>
      <c r="AJ92" s="6"/>
      <c r="AK92" s="6"/>
      <c r="AL92" s="6"/>
      <c r="AM92" s="6"/>
      <c r="AN92" s="231"/>
      <c r="AO92" s="234"/>
      <c r="AP92" s="234"/>
      <c r="AQ92" s="234"/>
      <c r="AR92" s="227">
        <f>IFERROR(_xlfn.XLOOKUP($D92,'Modelling New'!$D:$D,'Modelling New'!$N:$N),"")</f>
        <v>24.303100000000001</v>
      </c>
      <c r="AS92" s="227"/>
    </row>
    <row r="93" spans="1:45" x14ac:dyDescent="0.35">
      <c r="A93" s="226">
        <f t="shared" si="9"/>
        <v>45836</v>
      </c>
      <c r="B93" s="227">
        <f>YEAR(Daily_KPI[[#This Row],[Date]])+IF(MONTH(Daily_KPI[[#This Row],[Date]])&gt;=4,1,0)</f>
        <v>2026</v>
      </c>
      <c r="C93" s="6">
        <f>YEAR(Daily_KPI[[#This Row],[Date]])</f>
        <v>2025</v>
      </c>
      <c r="D93" s="228">
        <f>Daily_KPI[[#This Row],[Date]]-DAY(Daily_KPI[[#This Row],[Date]])+1</f>
        <v>45809</v>
      </c>
      <c r="E93" s="6">
        <f t="shared" si="7"/>
        <v>30</v>
      </c>
      <c r="F93" s="229">
        <f>IFERROR(_xlfn.XLOOKUP($A93,'Raw Data'!$A:$A,'Raw Data'!$BR:$BR),"")</f>
        <v>12.266666666666669</v>
      </c>
      <c r="G93" s="230">
        <f>IFERROR(_xlfn.XLOOKUP($A93,'Raw Data'!$A:$A,'Raw Data'!$AO:$AO),"")</f>
        <v>0</v>
      </c>
      <c r="H93" s="230"/>
      <c r="I93" s="230">
        <f>IFERROR(_xlfn.XLOOKUP($A93,'Raw Data'!$A:$A,'Raw Data'!$AR:$AR),"")</f>
        <v>5.0200539950576601</v>
      </c>
      <c r="J93" s="230"/>
      <c r="K93" s="230">
        <f>IFERROR(_xlfn.XLOOKUP($A93,'Raw Data'!$A:$A,'Raw Data'!$AV:$AV),"")</f>
        <v>0</v>
      </c>
      <c r="L93" s="230">
        <f>IFERROR(_xlfn.XLOOKUP($A93,'Raw Data'!$A:$A,'Raw Data'!$AW:$AW),"")</f>
        <v>0</v>
      </c>
      <c r="M93" s="230">
        <f>IFERROR(_xlfn.XLOOKUP($A93,'Raw Data'!$A:$A,'Raw Data'!$AX:$AX),"")</f>
        <v>0</v>
      </c>
      <c r="N93" s="230">
        <f>IFERROR(_xlfn.XLOOKUP($A93,'Raw Data'!$A:$A,'Raw Data'!$AY:$AY),"")</f>
        <v>0</v>
      </c>
      <c r="O93" s="231">
        <f>IFERROR(1-(SUMIF('Plant BD'!$B:$B,A93,'Plant BD'!$AE:$AE)/(AA93+SUMIF('Plant BD'!$B:$B,A93,'Plant BD'!$AE:$AE))),"")</f>
        <v>0.99637841572253294</v>
      </c>
      <c r="P93" s="231"/>
      <c r="Q93" s="232"/>
      <c r="R93" s="231">
        <f>IFERROR(1-(SUMIF('Grid BD'!$B:$B,$A93,'Grid BD'!$AD:$AD)/($AA93+SUMIF('Grid BD'!$B:$B,$A93,'Grid BD'!AD:AD))),"")</f>
        <v>1</v>
      </c>
      <c r="S93" s="6"/>
      <c r="T93" s="232"/>
      <c r="U93" s="233">
        <f t="shared" si="8"/>
        <v>0.85414053269568724</v>
      </c>
      <c r="V93" s="233"/>
      <c r="W93" s="234">
        <f t="shared" si="6"/>
        <v>0.1786596497291526</v>
      </c>
      <c r="X93" s="227">
        <f>IFERROR(_xlfn.XLOOKUP($A93,'Raw Data'!$A:$A,'Raw Data'!$BA:$BA),"")</f>
        <v>104811.3</v>
      </c>
      <c r="Y93" s="227">
        <f>IFERROR(_xlfn.XLOOKUP($A93,'Raw Data'!$A:$A,'Raw Data'!BJ:BJ),"")</f>
        <v>104595.19999998156</v>
      </c>
      <c r="Z93" s="227">
        <f>IFERROR(_xlfn.XLOOKUP($A93,'Raw Data'!$A:$A,'Raw Data'!BK:BK),"")</f>
        <v>387.59999999990669</v>
      </c>
      <c r="AA93" s="227">
        <f>IFERROR(_xlfn.XLOOKUP($A93,'Raw Data'!$A:$A,'Raw Data'!BL:BL),"")</f>
        <v>104207.59999998166</v>
      </c>
      <c r="AB93" s="227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27">
        <f>IFERROR(_xlfn.XLOOKUP($D93,'Modelling New'!$D:$D,'Modelling New'!$T:$T)*1000,"")</f>
        <v>91091.690669094809</v>
      </c>
      <c r="AE93" s="234">
        <f>IFERROR(_xlfn.XLOOKUP($D93,'Modelling New'!$D:$D,'Modelling New'!$O:$O),"")</f>
        <v>0.73158446710143066</v>
      </c>
      <c r="AF93" s="234">
        <f>IFERROR(_xlfn.XLOOKUP($D93,'Modelling New'!$D:$D,'Modelling New'!$W:$W),"")</f>
        <v>0.15617296193540262</v>
      </c>
      <c r="AG93" s="234">
        <f>IFERROR(_xlfn.XLOOKUP($D93,'Modelling New'!$D:$D,'Modelling New'!AE:AE),"")</f>
        <v>0.995</v>
      </c>
      <c r="AH93" s="234">
        <v>0.99750000000000005</v>
      </c>
      <c r="AI93" s="6"/>
      <c r="AJ93" s="6"/>
      <c r="AK93" s="6"/>
      <c r="AL93" s="6"/>
      <c r="AM93" s="6"/>
      <c r="AN93" s="231"/>
      <c r="AO93" s="234"/>
      <c r="AP93" s="234"/>
      <c r="AQ93" s="234"/>
      <c r="AR93" s="227">
        <f>IFERROR(_xlfn.XLOOKUP($D93,'Modelling New'!$D:$D,'Modelling New'!$N:$N),"")</f>
        <v>24.303100000000001</v>
      </c>
      <c r="AS93" s="227"/>
    </row>
    <row r="94" spans="1:45" x14ac:dyDescent="0.35">
      <c r="A94" s="226">
        <f t="shared" si="9"/>
        <v>45837</v>
      </c>
      <c r="B94" s="227">
        <f>YEAR(Daily_KPI[[#This Row],[Date]])+IF(MONTH(Daily_KPI[[#This Row],[Date]])&gt;=4,1,0)</f>
        <v>2026</v>
      </c>
      <c r="C94" s="6">
        <f>YEAR(Daily_KPI[[#This Row],[Date]])</f>
        <v>2025</v>
      </c>
      <c r="D94" s="228">
        <f>Daily_KPI[[#This Row],[Date]]-DAY(Daily_KPI[[#This Row],[Date]])+1</f>
        <v>45809</v>
      </c>
      <c r="E94" s="6">
        <f t="shared" si="7"/>
        <v>30</v>
      </c>
      <c r="F94" s="229">
        <f>IFERROR(_xlfn.XLOOKUP($A94,'Raw Data'!$A:$A,'Raw Data'!$BR:$BR),"")</f>
        <v>12.483333333333334</v>
      </c>
      <c r="G94" s="230">
        <f>IFERROR(_xlfn.XLOOKUP($A94,'Raw Data'!$A:$A,'Raw Data'!$AO:$AO),"")</f>
        <v>0</v>
      </c>
      <c r="H94" s="230"/>
      <c r="I94" s="230">
        <f>IFERROR(_xlfn.XLOOKUP($A94,'Raw Data'!$A:$A,'Raw Data'!$AR:$AR),"")</f>
        <v>3.3752083607907739</v>
      </c>
      <c r="J94" s="230"/>
      <c r="K94" s="230">
        <f>IFERROR(_xlfn.XLOOKUP($A94,'Raw Data'!$A:$A,'Raw Data'!$AV:$AV),"")</f>
        <v>0</v>
      </c>
      <c r="L94" s="230">
        <f>IFERROR(_xlfn.XLOOKUP($A94,'Raw Data'!$A:$A,'Raw Data'!$AW:$AW),"")</f>
        <v>0</v>
      </c>
      <c r="M94" s="230">
        <f>IFERROR(_xlfn.XLOOKUP($A94,'Raw Data'!$A:$A,'Raw Data'!$AX:$AX),"")</f>
        <v>0</v>
      </c>
      <c r="N94" s="230">
        <f>IFERROR(_xlfn.XLOOKUP($A94,'Raw Data'!$A:$A,'Raw Data'!$AY:$AY),"")</f>
        <v>0</v>
      </c>
      <c r="O94" s="231">
        <f>IFERROR(1-(SUMIF('Plant BD'!$B:$B,A94,'Plant BD'!$AE:$AE)/(AA94+SUMIF('Plant BD'!$B:$B,A94,'Plant BD'!$AE:$AE))),"")</f>
        <v>1</v>
      </c>
      <c r="P94" s="231"/>
      <c r="Q94" s="232"/>
      <c r="R94" s="231">
        <f>IFERROR(1-(SUMIF('Grid BD'!$B:$B,$A94,'Grid BD'!$AD:$AD)/($AA94+SUMIF('Grid BD'!$B:$B,$A94,'Grid BD'!AD:AD))),"")</f>
        <v>1</v>
      </c>
      <c r="S94" s="6"/>
      <c r="T94" s="232"/>
      <c r="U94" s="233">
        <f t="shared" si="8"/>
        <v>0.86626855714820605</v>
      </c>
      <c r="V94" s="233"/>
      <c r="W94" s="234">
        <f t="shared" si="6"/>
        <v>0.12182653653236605</v>
      </c>
      <c r="X94" s="227">
        <f>IFERROR(_xlfn.XLOOKUP($A94,'Raw Data'!$A:$A,'Raw Data'!$BA:$BA),"")</f>
        <v>71533.399999999994</v>
      </c>
      <c r="Y94" s="227">
        <f>IFERROR(_xlfn.XLOOKUP($A94,'Raw Data'!$A:$A,'Raw Data'!BJ:BJ),"")</f>
        <v>71818.499999993946</v>
      </c>
      <c r="Z94" s="227">
        <f>IFERROR(_xlfn.XLOOKUP($A94,'Raw Data'!$A:$A,'Raw Data'!BK:BK),"")</f>
        <v>760.20000000005439</v>
      </c>
      <c r="AA94" s="227">
        <f>IFERROR(_xlfn.XLOOKUP($A94,'Raw Data'!$A:$A,'Raw Data'!BL:BL),"")</f>
        <v>71058.299999993891</v>
      </c>
      <c r="AB94" s="227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27">
        <f>IFERROR(_xlfn.XLOOKUP($D94,'Modelling New'!$D:$D,'Modelling New'!$T:$T)*1000,"")</f>
        <v>91091.690669094809</v>
      </c>
      <c r="AE94" s="234">
        <f>IFERROR(_xlfn.XLOOKUP($D94,'Modelling New'!$D:$D,'Modelling New'!$O:$O),"")</f>
        <v>0.73158446710143066</v>
      </c>
      <c r="AF94" s="234">
        <f>IFERROR(_xlfn.XLOOKUP($D94,'Modelling New'!$D:$D,'Modelling New'!$W:$W),"")</f>
        <v>0.15617296193540262</v>
      </c>
      <c r="AG94" s="234">
        <f>IFERROR(_xlfn.XLOOKUP($D94,'Modelling New'!$D:$D,'Modelling New'!AE:AE),"")</f>
        <v>0.995</v>
      </c>
      <c r="AH94" s="234">
        <v>0.99750000000000005</v>
      </c>
      <c r="AI94" s="6"/>
      <c r="AJ94" s="6"/>
      <c r="AK94" s="6"/>
      <c r="AL94" s="6"/>
      <c r="AM94" s="6"/>
      <c r="AN94" s="231"/>
      <c r="AO94" s="234"/>
      <c r="AP94" s="234"/>
      <c r="AQ94" s="234"/>
      <c r="AR94" s="227">
        <f>IFERROR(_xlfn.XLOOKUP($D94,'Modelling New'!$D:$D,'Modelling New'!$N:$N),"")</f>
        <v>24.303100000000001</v>
      </c>
      <c r="AS94" s="227"/>
    </row>
    <row r="95" spans="1:45" x14ac:dyDescent="0.35">
      <c r="A95" s="226">
        <f t="shared" si="9"/>
        <v>45838</v>
      </c>
      <c r="B95" s="227">
        <f>YEAR(Daily_KPI[[#This Row],[Date]])+IF(MONTH(Daily_KPI[[#This Row],[Date]])&gt;=4,1,0)</f>
        <v>2026</v>
      </c>
      <c r="C95" s="6">
        <f>YEAR(Daily_KPI[[#This Row],[Date]])</f>
        <v>2025</v>
      </c>
      <c r="D95" s="228">
        <f>Daily_KPI[[#This Row],[Date]]-DAY(Daily_KPI[[#This Row],[Date]])+1</f>
        <v>45809</v>
      </c>
      <c r="E95" s="6">
        <f t="shared" si="7"/>
        <v>30</v>
      </c>
      <c r="F95" s="229">
        <f>IFERROR(_xlfn.XLOOKUP($A95,'Raw Data'!$A:$A,'Raw Data'!$BR:$BR),"")</f>
        <v>12.483333333333334</v>
      </c>
      <c r="G95" s="230">
        <f>IFERROR(_xlfn.XLOOKUP($A95,'Raw Data'!$A:$A,'Raw Data'!$AO:$AO),"")</f>
        <v>0</v>
      </c>
      <c r="H95" s="230"/>
      <c r="I95" s="230">
        <f>IFERROR(_xlfn.XLOOKUP($A95,'Raw Data'!$A:$A,'Raw Data'!$AR:$AR),"")</f>
        <v>2.9870015238879732</v>
      </c>
      <c r="J95" s="230"/>
      <c r="K95" s="230">
        <f>IFERROR(_xlfn.XLOOKUP($A95,'Raw Data'!$A:$A,'Raw Data'!$AV:$AV),"")</f>
        <v>0</v>
      </c>
      <c r="L95" s="230">
        <f>IFERROR(_xlfn.XLOOKUP($A95,'Raw Data'!$A:$A,'Raw Data'!$AW:$AW),"")</f>
        <v>0</v>
      </c>
      <c r="M95" s="230">
        <f>IFERROR(_xlfn.XLOOKUP($A95,'Raw Data'!$A:$A,'Raw Data'!$AX:$AX),"")</f>
        <v>0</v>
      </c>
      <c r="N95" s="230">
        <f>IFERROR(_xlfn.XLOOKUP($A95,'Raw Data'!$A:$A,'Raw Data'!$AY:$AY),"")</f>
        <v>0</v>
      </c>
      <c r="O95" s="231">
        <f>IFERROR(1-(SUMIF('Plant BD'!$B:$B,A95,'Plant BD'!$AE:$AE)/(AA95+SUMIF('Plant BD'!$B:$B,A95,'Plant BD'!$AE:$AE))),"")</f>
        <v>0.99934682757063575</v>
      </c>
      <c r="P95" s="231"/>
      <c r="Q95" s="232"/>
      <c r="R95" s="231">
        <f>IFERROR(1-(SUMIF('Grid BD'!$B:$B,$A95,'Grid BD'!$AD:$AD)/($AA95+SUMIF('Grid BD'!$B:$B,$A95,'Grid BD'!AD:AD))),"")</f>
        <v>1</v>
      </c>
      <c r="S95" s="6"/>
      <c r="T95" s="232"/>
      <c r="U95" s="233">
        <f t="shared" si="8"/>
        <v>0.86839716606689099</v>
      </c>
      <c r="V95" s="233"/>
      <c r="W95" s="234">
        <f t="shared" si="6"/>
        <v>0.10807931909924169</v>
      </c>
      <c r="X95" s="227">
        <f>IFERROR(_xlfn.XLOOKUP($A95,'Raw Data'!$A:$A,'Raw Data'!$BA:$BA),"")</f>
        <v>63747.7</v>
      </c>
      <c r="Y95" s="227">
        <f>IFERROR(_xlfn.XLOOKUP($A95,'Raw Data'!$A:$A,'Raw Data'!BJ:BJ),"")</f>
        <v>64015.10000001872</v>
      </c>
      <c r="Z95" s="227">
        <f>IFERROR(_xlfn.XLOOKUP($A95,'Raw Data'!$A:$A,'Raw Data'!BK:BK),"")</f>
        <v>975.19999999997253</v>
      </c>
      <c r="AA95" s="227">
        <f>IFERROR(_xlfn.XLOOKUP($A95,'Raw Data'!$A:$A,'Raw Data'!BL:BL),"")</f>
        <v>63039.900000018744</v>
      </c>
      <c r="AB95" s="227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27">
        <f>IFERROR(_xlfn.XLOOKUP($D95,'Modelling New'!$D:$D,'Modelling New'!$T:$T)*1000,"")</f>
        <v>91091.690669094809</v>
      </c>
      <c r="AE95" s="234">
        <f>IFERROR(_xlfn.XLOOKUP($D95,'Modelling New'!$D:$D,'Modelling New'!$O:$O),"")</f>
        <v>0.73158446710143066</v>
      </c>
      <c r="AF95" s="234">
        <f>IFERROR(_xlfn.XLOOKUP($D95,'Modelling New'!$D:$D,'Modelling New'!$W:$W),"")</f>
        <v>0.15617296193540262</v>
      </c>
      <c r="AG95" s="234">
        <f>IFERROR(_xlfn.XLOOKUP($D95,'Modelling New'!$D:$D,'Modelling New'!AE:AE),"")</f>
        <v>0.995</v>
      </c>
      <c r="AH95" s="234">
        <v>0.99750000000000005</v>
      </c>
      <c r="AI95" s="6"/>
      <c r="AJ95" s="6"/>
      <c r="AK95" s="6"/>
      <c r="AL95" s="6"/>
      <c r="AM95" s="6"/>
      <c r="AN95" s="231"/>
      <c r="AO95" s="234"/>
      <c r="AP95" s="234"/>
      <c r="AQ95" s="234"/>
      <c r="AR95" s="227">
        <f>IFERROR(_xlfn.XLOOKUP($D95,'Modelling New'!$D:$D,'Modelling New'!$N:$N),"")</f>
        <v>24.303100000000001</v>
      </c>
      <c r="AS95" s="227"/>
    </row>
    <row r="96" spans="1:45" x14ac:dyDescent="0.35">
      <c r="A96" s="226">
        <f t="shared" si="9"/>
        <v>45839</v>
      </c>
      <c r="B96" s="227">
        <f>YEAR(Daily_KPI[[#This Row],[Date]])+IF(MONTH(Daily_KPI[[#This Row],[Date]])&gt;=4,1,0)</f>
        <v>2026</v>
      </c>
      <c r="C96" s="6">
        <f>YEAR(Daily_KPI[[#This Row],[Date]])</f>
        <v>2025</v>
      </c>
      <c r="D96" s="228">
        <f>Daily_KPI[[#This Row],[Date]]-DAY(Daily_KPI[[#This Row],[Date]])+1</f>
        <v>45839</v>
      </c>
      <c r="E96" s="6">
        <f t="shared" si="7"/>
        <v>31</v>
      </c>
      <c r="F96" s="229">
        <f>IFERROR(_xlfn.XLOOKUP($A96,'Raw Data'!$A:$A,'Raw Data'!$BR:$BR),"")</f>
        <v>12.416666666666668</v>
      </c>
      <c r="G96" s="230">
        <f>IFERROR(_xlfn.XLOOKUP($A96,'Raw Data'!$A:$A,'Raw Data'!$AO:$AO),"")</f>
        <v>0</v>
      </c>
      <c r="H96" s="230"/>
      <c r="I96" s="230">
        <f>IFERROR(_xlfn.XLOOKUP($A96,'Raw Data'!$A:$A,'Raw Data'!$AR:$AR),"")</f>
        <v>2.1325771828665565</v>
      </c>
      <c r="J96" s="230"/>
      <c r="K96" s="230">
        <f>IFERROR(_xlfn.XLOOKUP($A96,'Raw Data'!$A:$A,'Raw Data'!$AV:$AV),"")</f>
        <v>0</v>
      </c>
      <c r="L96" s="230">
        <f>IFERROR(_xlfn.XLOOKUP($A96,'Raw Data'!$A:$A,'Raw Data'!$AW:$AW),"")</f>
        <v>0</v>
      </c>
      <c r="M96" s="230">
        <f>IFERROR(_xlfn.XLOOKUP($A96,'Raw Data'!$A:$A,'Raw Data'!$AX:$AX),"")</f>
        <v>0</v>
      </c>
      <c r="N96" s="230">
        <f>IFERROR(_xlfn.XLOOKUP($A96,'Raw Data'!$A:$A,'Raw Data'!$AY:$AY),"")</f>
        <v>0</v>
      </c>
      <c r="O96" s="231">
        <f>IFERROR(1-(SUMIF('Plant BD'!$B:$B,A96,'Plant BD'!$AE:$AE)/(AA96+SUMIF('Plant BD'!$B:$B,A96,'Plant BD'!$AE:$AE))),"")</f>
        <v>0.99958105557286026</v>
      </c>
      <c r="P96" s="231"/>
      <c r="Q96" s="232"/>
      <c r="R96" s="231">
        <f>IFERROR(1-(SUMIF('Grid BD'!$B:$B,$A96,'Grid BD'!$AD:$AD)/($AA96+SUMIF('Grid BD'!$B:$B,$A96,'Grid BD'!AD:AD))),"")</f>
        <v>1</v>
      </c>
      <c r="S96" s="6"/>
      <c r="T96" s="232"/>
      <c r="U96" s="233">
        <f t="shared" si="8"/>
        <v>0.87027271266189576</v>
      </c>
      <c r="V96" s="233"/>
      <c r="W96" s="234">
        <f t="shared" si="6"/>
        <v>7.7330155412255908E-2</v>
      </c>
      <c r="X96" s="227">
        <f>IFERROR(_xlfn.XLOOKUP($A96,'Raw Data'!$A:$A,'Raw Data'!$BA:$BA),"")</f>
        <v>45448.7</v>
      </c>
      <c r="Y96" s="227">
        <f>IFERROR(_xlfn.XLOOKUP($A96,'Raw Data'!$A:$A,'Raw Data'!BJ:BJ),"")</f>
        <v>46038.399999990361</v>
      </c>
      <c r="Z96" s="227">
        <f>IFERROR(_xlfn.XLOOKUP($A96,'Raw Data'!$A:$A,'Raw Data'!BK:BK),"")</f>
        <v>933.70000000004438</v>
      </c>
      <c r="AA96" s="227">
        <f>IFERROR(_xlfn.XLOOKUP($A96,'Raw Data'!$A:$A,'Raw Data'!BL:BL),"")</f>
        <v>45104.69999999032</v>
      </c>
      <c r="AB96" s="227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27">
        <f>IFERROR(_xlfn.XLOOKUP($D96,'Modelling New'!$D:$D,'Modelling New'!$T:$T)*1000,"")</f>
        <v>77476.763338544362</v>
      </c>
      <c r="AE96" s="234">
        <f>IFERROR(_xlfn.XLOOKUP($D96,'Modelling New'!$D:$D,'Modelling New'!$O:$O),"")</f>
        <v>0.72347043806469047</v>
      </c>
      <c r="AF96" s="234">
        <f>IFERROR(_xlfn.XLOOKUP($D96,'Modelling New'!$D:$D,'Modelling New'!$W:$W),"")</f>
        <v>0.1328307282790816</v>
      </c>
      <c r="AG96" s="234">
        <f>IFERROR(_xlfn.XLOOKUP($D96,'Modelling New'!$D:$D,'Modelling New'!AE:AE),"")</f>
        <v>0.995</v>
      </c>
      <c r="AH96" s="234">
        <v>0.99750000000000005</v>
      </c>
      <c r="AI96" s="6"/>
      <c r="AJ96" s="6"/>
      <c r="AK96" s="6"/>
      <c r="AL96" s="6"/>
      <c r="AM96" s="6"/>
      <c r="AN96" s="231"/>
      <c r="AO96" s="234"/>
      <c r="AP96" s="234"/>
      <c r="AQ96" s="234"/>
      <c r="AR96" s="227">
        <f>IFERROR(_xlfn.XLOOKUP($D96,'Modelling New'!$D:$D,'Modelling New'!$N:$N),"")</f>
        <v>24.303100000000001</v>
      </c>
      <c r="AS96" s="227"/>
    </row>
    <row r="97" spans="1:45" x14ac:dyDescent="0.35">
      <c r="A97" s="226">
        <f t="shared" si="9"/>
        <v>45840</v>
      </c>
      <c r="B97" s="227">
        <f>YEAR(Daily_KPI[[#This Row],[Date]])+IF(MONTH(Daily_KPI[[#This Row],[Date]])&gt;=4,1,0)</f>
        <v>2026</v>
      </c>
      <c r="C97" s="6">
        <f>YEAR(Daily_KPI[[#This Row],[Date]])</f>
        <v>2025</v>
      </c>
      <c r="D97" s="228">
        <f>Daily_KPI[[#This Row],[Date]]-DAY(Daily_KPI[[#This Row],[Date]])+1</f>
        <v>45839</v>
      </c>
      <c r="E97" s="6">
        <f t="shared" si="7"/>
        <v>31</v>
      </c>
      <c r="F97" s="229">
        <f>IFERROR(_xlfn.XLOOKUP($A97,'Raw Data'!$A:$A,'Raw Data'!$BR:$BR),"")</f>
        <v>12.2</v>
      </c>
      <c r="G97" s="230">
        <f>IFERROR(_xlfn.XLOOKUP($A97,'Raw Data'!$A:$A,'Raw Data'!$AO:$AO),"")</f>
        <v>0</v>
      </c>
      <c r="H97" s="230"/>
      <c r="I97" s="230">
        <f>IFERROR(_xlfn.XLOOKUP($A97,'Raw Data'!$A:$A,'Raw Data'!$AR:$AR),"")</f>
        <v>2.8664798599670509</v>
      </c>
      <c r="J97" s="230"/>
      <c r="K97" s="230">
        <f>IFERROR(_xlfn.XLOOKUP($A97,'Raw Data'!$A:$A,'Raw Data'!$AV:$AV),"")</f>
        <v>0</v>
      </c>
      <c r="L97" s="230">
        <f>IFERROR(_xlfn.XLOOKUP($A97,'Raw Data'!$A:$A,'Raw Data'!$AW:$AW),"")</f>
        <v>0</v>
      </c>
      <c r="M97" s="230">
        <f>IFERROR(_xlfn.XLOOKUP($A97,'Raw Data'!$A:$A,'Raw Data'!$AX:$AX),"")</f>
        <v>0</v>
      </c>
      <c r="N97" s="230">
        <f>IFERROR(_xlfn.XLOOKUP($A97,'Raw Data'!$A:$A,'Raw Data'!$AY:$AY),"")</f>
        <v>0</v>
      </c>
      <c r="O97" s="231">
        <f>IFERROR(1-(SUMIF('Plant BD'!$B:$B,A97,'Plant BD'!$AE:$AE)/(AA97+SUMIF('Plant BD'!$B:$B,A97,'Plant BD'!$AE:$AE))),"")</f>
        <v>0.99937279635723153</v>
      </c>
      <c r="P97" s="231"/>
      <c r="Q97" s="232"/>
      <c r="R97" s="231">
        <f>IFERROR(1-(SUMIF('Grid BD'!$B:$B,$A97,'Grid BD'!$AD:$AD)/($AA97+SUMIF('Grid BD'!$B:$B,$A97,'Grid BD'!AD:AD))),"")</f>
        <v>1</v>
      </c>
      <c r="S97" s="6"/>
      <c r="T97" s="232"/>
      <c r="U97" s="233">
        <f t="shared" si="8"/>
        <v>0.8518589899154928</v>
      </c>
      <c r="V97" s="233"/>
      <c r="W97" s="234">
        <f t="shared" si="6"/>
        <v>0.10174319325519313</v>
      </c>
      <c r="X97" s="227">
        <f>IFERROR(_xlfn.XLOOKUP($A97,'Raw Data'!$A:$A,'Raw Data'!$BA:$BA),"")</f>
        <v>59650.100000000006</v>
      </c>
      <c r="Y97" s="227">
        <f>IFERROR(_xlfn.XLOOKUP($A97,'Raw Data'!$A:$A,'Raw Data'!BJ:BJ),"")</f>
        <v>59988.500000006752</v>
      </c>
      <c r="Z97" s="227">
        <f>IFERROR(_xlfn.XLOOKUP($A97,'Raw Data'!$A:$A,'Raw Data'!BK:BK),"")</f>
        <v>644.29999999993015</v>
      </c>
      <c r="AA97" s="227">
        <f>IFERROR(_xlfn.XLOOKUP($A97,'Raw Data'!$A:$A,'Raw Data'!BL:BL),"")</f>
        <v>59344.200000006822</v>
      </c>
      <c r="AB97" s="227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27">
        <f>IFERROR(_xlfn.XLOOKUP($D97,'Modelling New'!$D:$D,'Modelling New'!$T:$T)*1000,"")</f>
        <v>77476.763338544362</v>
      </c>
      <c r="AE97" s="234">
        <f>IFERROR(_xlfn.XLOOKUP($D97,'Modelling New'!$D:$D,'Modelling New'!$O:$O),"")</f>
        <v>0.72347043806469047</v>
      </c>
      <c r="AF97" s="234">
        <f>IFERROR(_xlfn.XLOOKUP($D97,'Modelling New'!$D:$D,'Modelling New'!$W:$W),"")</f>
        <v>0.1328307282790816</v>
      </c>
      <c r="AG97" s="234">
        <f>IFERROR(_xlfn.XLOOKUP($D97,'Modelling New'!$D:$D,'Modelling New'!AE:AE),"")</f>
        <v>0.995</v>
      </c>
      <c r="AH97" s="234">
        <v>0.99750000000000005</v>
      </c>
      <c r="AI97" s="6"/>
      <c r="AJ97" s="6"/>
      <c r="AK97" s="6"/>
      <c r="AL97" s="6"/>
      <c r="AM97" s="6"/>
      <c r="AN97" s="231"/>
      <c r="AO97" s="234"/>
      <c r="AP97" s="234"/>
      <c r="AQ97" s="234"/>
      <c r="AR97" s="227">
        <f>IFERROR(_xlfn.XLOOKUP($D97,'Modelling New'!$D:$D,'Modelling New'!$N:$N),"")</f>
        <v>24.303100000000001</v>
      </c>
      <c r="AS97" s="227"/>
    </row>
    <row r="98" spans="1:45" x14ac:dyDescent="0.35">
      <c r="A98" s="226">
        <f t="shared" si="9"/>
        <v>45841</v>
      </c>
      <c r="B98" s="227">
        <f>YEAR(Daily_KPI[[#This Row],[Date]])+IF(MONTH(Daily_KPI[[#This Row],[Date]])&gt;=4,1,0)</f>
        <v>2026</v>
      </c>
      <c r="C98" s="6">
        <f>YEAR(Daily_KPI[[#This Row],[Date]])</f>
        <v>2025</v>
      </c>
      <c r="D98" s="228">
        <f>Daily_KPI[[#This Row],[Date]]-DAY(Daily_KPI[[#This Row],[Date]])+1</f>
        <v>45839</v>
      </c>
      <c r="E98" s="6">
        <f t="shared" si="7"/>
        <v>31</v>
      </c>
      <c r="F98" s="229">
        <f>IFERROR(_xlfn.XLOOKUP($A98,'Raw Data'!$A:$A,'Raw Data'!$BR:$BR),"")</f>
        <v>12.450000000000001</v>
      </c>
      <c r="G98" s="230">
        <f>IFERROR(_xlfn.XLOOKUP($A98,'Raw Data'!$A:$A,'Raw Data'!$AO:$AO),"")</f>
        <v>0</v>
      </c>
      <c r="H98" s="230"/>
      <c r="I98" s="230">
        <f>IFERROR(_xlfn.XLOOKUP($A98,'Raw Data'!$A:$A,'Raw Data'!$AR:$AR),"")</f>
        <v>3.2888965815485998</v>
      </c>
      <c r="J98" s="230"/>
      <c r="K98" s="230">
        <f>IFERROR(_xlfn.XLOOKUP($A98,'Raw Data'!$A:$A,'Raw Data'!$AV:$AV),"")</f>
        <v>0</v>
      </c>
      <c r="L98" s="230">
        <f>IFERROR(_xlfn.XLOOKUP($A98,'Raw Data'!$A:$A,'Raw Data'!$AW:$AW),"")</f>
        <v>0</v>
      </c>
      <c r="M98" s="230">
        <f>IFERROR(_xlfn.XLOOKUP($A98,'Raw Data'!$A:$A,'Raw Data'!$AX:$AX),"")</f>
        <v>0</v>
      </c>
      <c r="N98" s="230">
        <f>IFERROR(_xlfn.XLOOKUP($A98,'Raw Data'!$A:$A,'Raw Data'!$AY:$AY),"")</f>
        <v>0</v>
      </c>
      <c r="O98" s="231">
        <f>IFERROR(1-(SUMIF('Plant BD'!$B:$B,A98,'Plant BD'!$AE:$AE)/(AA98+SUMIF('Plant BD'!$B:$B,A98,'Plant BD'!$AE:$AE))),"")</f>
        <v>1</v>
      </c>
      <c r="P98" s="231"/>
      <c r="Q98" s="232"/>
      <c r="R98" s="231">
        <f>IFERROR(1-(SUMIF('Grid BD'!$B:$B,$A98,'Grid BD'!$AD:$AD)/($AA98+SUMIF('Grid BD'!$B:$B,$A98,'Grid BD'!AD:AD))),"")</f>
        <v>1</v>
      </c>
      <c r="S98" s="6"/>
      <c r="T98" s="232"/>
      <c r="U98" s="233">
        <f t="shared" si="8"/>
        <v>0.85835070275712977</v>
      </c>
      <c r="V98" s="233"/>
      <c r="W98" s="234">
        <f t="shared" si="6"/>
        <v>0.11762611216949008</v>
      </c>
      <c r="X98" s="227">
        <f>IFERROR(_xlfn.XLOOKUP($A98,'Raw Data'!$A:$A,'Raw Data'!$BA:$BA),"")</f>
        <v>69208.100000000006</v>
      </c>
      <c r="Y98" s="227">
        <f>IFERROR(_xlfn.XLOOKUP($A98,'Raw Data'!$A:$A,'Raw Data'!BJ:BJ),"")</f>
        <v>69478.999999992084</v>
      </c>
      <c r="Z98" s="227">
        <f>IFERROR(_xlfn.XLOOKUP($A98,'Raw Data'!$A:$A,'Raw Data'!BK:BK),"")</f>
        <v>870.70000000005621</v>
      </c>
      <c r="AA98" s="227">
        <f>IFERROR(_xlfn.XLOOKUP($A98,'Raw Data'!$A:$A,'Raw Data'!BL:BL),"")</f>
        <v>68608.299999992028</v>
      </c>
      <c r="AB98" s="227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27">
        <f>IFERROR(_xlfn.XLOOKUP($D98,'Modelling New'!$D:$D,'Modelling New'!$T:$T)*1000,"")</f>
        <v>77476.763338544362</v>
      </c>
      <c r="AE98" s="234">
        <f>IFERROR(_xlfn.XLOOKUP($D98,'Modelling New'!$D:$D,'Modelling New'!$O:$O),"")</f>
        <v>0.72347043806469047</v>
      </c>
      <c r="AF98" s="234">
        <f>IFERROR(_xlfn.XLOOKUP($D98,'Modelling New'!$D:$D,'Modelling New'!$W:$W),"")</f>
        <v>0.1328307282790816</v>
      </c>
      <c r="AG98" s="234">
        <f>IFERROR(_xlfn.XLOOKUP($D98,'Modelling New'!$D:$D,'Modelling New'!AE:AE),"")</f>
        <v>0.995</v>
      </c>
      <c r="AH98" s="234">
        <v>0.99750000000000005</v>
      </c>
      <c r="AI98" s="6"/>
      <c r="AJ98" s="6"/>
      <c r="AK98" s="6"/>
      <c r="AL98" s="6"/>
      <c r="AM98" s="6"/>
      <c r="AN98" s="231"/>
      <c r="AO98" s="234"/>
      <c r="AP98" s="234"/>
      <c r="AQ98" s="234"/>
      <c r="AR98" s="227">
        <f>IFERROR(_xlfn.XLOOKUP($D98,'Modelling New'!$D:$D,'Modelling New'!$N:$N),"")</f>
        <v>24.303100000000001</v>
      </c>
      <c r="AS98" s="227"/>
    </row>
    <row r="99" spans="1:45" x14ac:dyDescent="0.35">
      <c r="A99" s="226">
        <f t="shared" si="9"/>
        <v>45842</v>
      </c>
      <c r="B99" s="227">
        <f>YEAR(Daily_KPI[[#This Row],[Date]])+IF(MONTH(Daily_KPI[[#This Row],[Date]])&gt;=4,1,0)</f>
        <v>2026</v>
      </c>
      <c r="C99" s="6">
        <f>YEAR(Daily_KPI[[#This Row],[Date]])</f>
        <v>2025</v>
      </c>
      <c r="D99" s="228">
        <f>Daily_KPI[[#This Row],[Date]]-DAY(Daily_KPI[[#This Row],[Date]])+1</f>
        <v>45839</v>
      </c>
      <c r="E99" s="6">
        <f t="shared" si="7"/>
        <v>31</v>
      </c>
      <c r="F99" s="229">
        <f>IFERROR(_xlfn.XLOOKUP($A99,'Raw Data'!$A:$A,'Raw Data'!$BR:$BR),"")</f>
        <v>12.466666666666665</v>
      </c>
      <c r="G99" s="230">
        <f>IFERROR(_xlfn.XLOOKUP($A99,'Raw Data'!$A:$A,'Raw Data'!$AO:$AO),"")</f>
        <v>0</v>
      </c>
      <c r="H99" s="230"/>
      <c r="I99" s="230">
        <f>IFERROR(_xlfn.XLOOKUP($A99,'Raw Data'!$A:$A,'Raw Data'!$AR:$AR),"")</f>
        <v>4.0867019357495877</v>
      </c>
      <c r="J99" s="230"/>
      <c r="K99" s="230">
        <f>IFERROR(_xlfn.XLOOKUP($A99,'Raw Data'!$A:$A,'Raw Data'!$AV:$AV),"")</f>
        <v>0</v>
      </c>
      <c r="L99" s="230">
        <f>IFERROR(_xlfn.XLOOKUP($A99,'Raw Data'!$A:$A,'Raw Data'!$AW:$AW),"")</f>
        <v>0</v>
      </c>
      <c r="M99" s="230">
        <f>IFERROR(_xlfn.XLOOKUP($A99,'Raw Data'!$A:$A,'Raw Data'!$AX:$AX),"")</f>
        <v>0</v>
      </c>
      <c r="N99" s="230">
        <f>IFERROR(_xlfn.XLOOKUP($A99,'Raw Data'!$A:$A,'Raw Data'!$AY:$AY),"")</f>
        <v>0</v>
      </c>
      <c r="O99" s="231">
        <f>IFERROR(1-(SUMIF('Plant BD'!$B:$B,A99,'Plant BD'!$AE:$AE)/(AA99+SUMIF('Plant BD'!$B:$B,A99,'Plant BD'!$AE:$AE))),"")</f>
        <v>1</v>
      </c>
      <c r="P99" s="231"/>
      <c r="Q99" s="232"/>
      <c r="R99" s="231">
        <f>IFERROR(1-(SUMIF('Grid BD'!$B:$B,$A99,'Grid BD'!$AD:$AD)/($AA99+SUMIF('Grid BD'!$B:$B,$A99,'Grid BD'!AD:AD))),"")</f>
        <v>1</v>
      </c>
      <c r="S99" s="6"/>
      <c r="T99" s="232"/>
      <c r="U99" s="233">
        <f t="shared" si="8"/>
        <v>0.83490632199240966</v>
      </c>
      <c r="V99" s="233"/>
      <c r="W99" s="234">
        <f t="shared" si="6"/>
        <v>0.14216722009399788</v>
      </c>
      <c r="X99" s="227">
        <f>IFERROR(_xlfn.XLOOKUP($A99,'Raw Data'!$A:$A,'Raw Data'!$BA:$BA),"")</f>
        <v>84274.7</v>
      </c>
      <c r="Y99" s="227">
        <f>IFERROR(_xlfn.XLOOKUP($A99,'Raw Data'!$A:$A,'Raw Data'!BJ:BJ),"")</f>
        <v>84067.899999994552</v>
      </c>
      <c r="Z99" s="227">
        <f>IFERROR(_xlfn.XLOOKUP($A99,'Raw Data'!$A:$A,'Raw Data'!BK:BK),"")</f>
        <v>1145.3999999999951</v>
      </c>
      <c r="AA99" s="227">
        <f>IFERROR(_xlfn.XLOOKUP($A99,'Raw Data'!$A:$A,'Raw Data'!BL:BL),"")</f>
        <v>82922.499999994558</v>
      </c>
      <c r="AB99" s="227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27">
        <f>IFERROR(_xlfn.XLOOKUP($D99,'Modelling New'!$D:$D,'Modelling New'!$T:$T)*1000,"")</f>
        <v>77476.763338544362</v>
      </c>
      <c r="AE99" s="234">
        <f>IFERROR(_xlfn.XLOOKUP($D99,'Modelling New'!$D:$D,'Modelling New'!$O:$O),"")</f>
        <v>0.72347043806469047</v>
      </c>
      <c r="AF99" s="234">
        <f>IFERROR(_xlfn.XLOOKUP($D99,'Modelling New'!$D:$D,'Modelling New'!$W:$W),"")</f>
        <v>0.1328307282790816</v>
      </c>
      <c r="AG99" s="234">
        <f>IFERROR(_xlfn.XLOOKUP($D99,'Modelling New'!$D:$D,'Modelling New'!AE:AE),"")</f>
        <v>0.995</v>
      </c>
      <c r="AH99" s="234">
        <v>0.99750000000000005</v>
      </c>
      <c r="AI99" s="6"/>
      <c r="AJ99" s="6"/>
      <c r="AK99" s="6"/>
      <c r="AL99" s="6"/>
      <c r="AM99" s="6"/>
      <c r="AN99" s="231"/>
      <c r="AO99" s="234"/>
      <c r="AP99" s="234"/>
      <c r="AQ99" s="234"/>
      <c r="AR99" s="227">
        <f>IFERROR(_xlfn.XLOOKUP($D99,'Modelling New'!$D:$D,'Modelling New'!$N:$N),"")</f>
        <v>24.303100000000001</v>
      </c>
      <c r="AS99" s="227"/>
    </row>
    <row r="100" spans="1:45" x14ac:dyDescent="0.35">
      <c r="A100" s="226">
        <f t="shared" si="9"/>
        <v>45843</v>
      </c>
      <c r="B100" s="227">
        <f>YEAR(Daily_KPI[[#This Row],[Date]])+IF(MONTH(Daily_KPI[[#This Row],[Date]])&gt;=4,1,0)</f>
        <v>2026</v>
      </c>
      <c r="C100" s="6">
        <f>YEAR(Daily_KPI[[#This Row],[Date]])</f>
        <v>2025</v>
      </c>
      <c r="D100" s="228">
        <f>Daily_KPI[[#This Row],[Date]]-DAY(Daily_KPI[[#This Row],[Date]])+1</f>
        <v>45839</v>
      </c>
      <c r="E100" s="6">
        <f t="shared" si="7"/>
        <v>31</v>
      </c>
      <c r="F100" s="229">
        <f>IFERROR(_xlfn.XLOOKUP($A100,'Raw Data'!$A:$A,'Raw Data'!$BR:$BR),"")</f>
        <v>12.499999999999998</v>
      </c>
      <c r="G100" s="230">
        <f>IFERROR(_xlfn.XLOOKUP($A100,'Raw Data'!$A:$A,'Raw Data'!$AO:$AO),"")</f>
        <v>0</v>
      </c>
      <c r="H100" s="230"/>
      <c r="I100" s="230">
        <f>IFERROR(_xlfn.XLOOKUP($A100,'Raw Data'!$A:$A,'Raw Data'!$AR:$AR),"")</f>
        <v>3.8036775535420091</v>
      </c>
      <c r="J100" s="230"/>
      <c r="K100" s="230">
        <f>IFERROR(_xlfn.XLOOKUP($A100,'Raw Data'!$A:$A,'Raw Data'!$AV:$AV),"")</f>
        <v>0</v>
      </c>
      <c r="L100" s="230">
        <f>IFERROR(_xlfn.XLOOKUP($A100,'Raw Data'!$A:$A,'Raw Data'!$AW:$AW),"")</f>
        <v>0</v>
      </c>
      <c r="M100" s="230">
        <f>IFERROR(_xlfn.XLOOKUP($A100,'Raw Data'!$A:$A,'Raw Data'!$AX:$AX),"")</f>
        <v>0</v>
      </c>
      <c r="N100" s="230">
        <f>IFERROR(_xlfn.XLOOKUP($A100,'Raw Data'!$A:$A,'Raw Data'!$AY:$AY),"")</f>
        <v>0</v>
      </c>
      <c r="O100" s="231">
        <f>IFERROR(1-(SUMIF('Plant BD'!$B:$B,A100,'Plant BD'!$AE:$AE)/(AA100+SUMIF('Plant BD'!$B:$B,A100,'Plant BD'!$AE:$AE))),"")</f>
        <v>1</v>
      </c>
      <c r="P100" s="231"/>
      <c r="Q100" s="232"/>
      <c r="R100" s="231">
        <f>IFERROR(1-(SUMIF('Grid BD'!$B:$B,$A100,'Grid BD'!$AD:$AD)/($AA100+SUMIF('Grid BD'!$B:$B,$A100,'Grid BD'!AD:AD))),"")</f>
        <v>1</v>
      </c>
      <c r="S100" s="6"/>
      <c r="T100" s="232"/>
      <c r="U100" s="233">
        <f t="shared" si="8"/>
        <v>0.85409901236457864</v>
      </c>
      <c r="V100" s="233"/>
      <c r="W100" s="234">
        <f t="shared" si="6"/>
        <v>0.13536321840973112</v>
      </c>
      <c r="X100" s="227">
        <f>IFERROR(_xlfn.XLOOKUP($A100,'Raw Data'!$A:$A,'Raw Data'!$BA:$BA),"")</f>
        <v>79610.899999999994</v>
      </c>
      <c r="Y100" s="227">
        <f>IFERROR(_xlfn.XLOOKUP($A100,'Raw Data'!$A:$A,'Raw Data'!BJ:BJ),"")</f>
        <v>79745.200000004843</v>
      </c>
      <c r="Z100" s="227">
        <f>IFERROR(_xlfn.XLOOKUP($A100,'Raw Data'!$A:$A,'Raw Data'!BK:BK),"")</f>
        <v>791.29999999997835</v>
      </c>
      <c r="AA100" s="227">
        <f>IFERROR(_xlfn.XLOOKUP($A100,'Raw Data'!$A:$A,'Raw Data'!BL:BL),"")</f>
        <v>78953.900000004869</v>
      </c>
      <c r="AB100" s="227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27">
        <f>IFERROR(_xlfn.XLOOKUP($D100,'Modelling New'!$D:$D,'Modelling New'!$T:$T)*1000,"")</f>
        <v>77476.763338544362</v>
      </c>
      <c r="AE100" s="234">
        <f>IFERROR(_xlfn.XLOOKUP($D100,'Modelling New'!$D:$D,'Modelling New'!$O:$O),"")</f>
        <v>0.72347043806469047</v>
      </c>
      <c r="AF100" s="234">
        <f>IFERROR(_xlfn.XLOOKUP($D100,'Modelling New'!$D:$D,'Modelling New'!$W:$W),"")</f>
        <v>0.1328307282790816</v>
      </c>
      <c r="AG100" s="234">
        <f>IFERROR(_xlfn.XLOOKUP($D100,'Modelling New'!$D:$D,'Modelling New'!AE:AE),"")</f>
        <v>0.995</v>
      </c>
      <c r="AH100" s="234">
        <v>0.99750000000000005</v>
      </c>
      <c r="AI100" s="6"/>
      <c r="AJ100" s="6"/>
      <c r="AK100" s="6"/>
      <c r="AL100" s="6"/>
      <c r="AM100" s="6"/>
      <c r="AN100" s="231"/>
      <c r="AO100" s="234"/>
      <c r="AP100" s="234"/>
      <c r="AQ100" s="234"/>
      <c r="AR100" s="227">
        <f>IFERROR(_xlfn.XLOOKUP($D100,'Modelling New'!$D:$D,'Modelling New'!$N:$N),"")</f>
        <v>24.303100000000001</v>
      </c>
      <c r="AS100" s="227"/>
    </row>
    <row r="101" spans="1:45" x14ac:dyDescent="0.35">
      <c r="A101" s="226">
        <f t="shared" si="9"/>
        <v>45844</v>
      </c>
      <c r="B101" s="227">
        <f>YEAR(Daily_KPI[[#This Row],[Date]])+IF(MONTH(Daily_KPI[[#This Row],[Date]])&gt;=4,1,0)</f>
        <v>2026</v>
      </c>
      <c r="C101" s="6">
        <f>YEAR(Daily_KPI[[#This Row],[Date]])</f>
        <v>2025</v>
      </c>
      <c r="D101" s="228">
        <f>Daily_KPI[[#This Row],[Date]]-DAY(Daily_KPI[[#This Row],[Date]])+1</f>
        <v>45839</v>
      </c>
      <c r="E101" s="6">
        <f t="shared" si="7"/>
        <v>31</v>
      </c>
      <c r="F101" s="229">
        <f>IFERROR(_xlfn.XLOOKUP($A101,'Raw Data'!$A:$A,'Raw Data'!$BR:$BR),"")</f>
        <v>12.350000000000001</v>
      </c>
      <c r="G101" s="230">
        <f>IFERROR(_xlfn.XLOOKUP($A101,'Raw Data'!$A:$A,'Raw Data'!$AO:$AO),"")</f>
        <v>0</v>
      </c>
      <c r="H101" s="230"/>
      <c r="I101" s="230">
        <f>IFERROR(_xlfn.XLOOKUP($A101,'Raw Data'!$A:$A,'Raw Data'!$AR:$AR),"")</f>
        <v>3.0938425864909389</v>
      </c>
      <c r="J101" s="230"/>
      <c r="K101" s="230">
        <f>IFERROR(_xlfn.XLOOKUP($A101,'Raw Data'!$A:$A,'Raw Data'!$AV:$AV),"")</f>
        <v>0</v>
      </c>
      <c r="L101" s="230">
        <f>IFERROR(_xlfn.XLOOKUP($A101,'Raw Data'!$A:$A,'Raw Data'!$AW:$AW),"")</f>
        <v>0</v>
      </c>
      <c r="M101" s="230">
        <f>IFERROR(_xlfn.XLOOKUP($A101,'Raw Data'!$A:$A,'Raw Data'!$AX:$AX),"")</f>
        <v>0</v>
      </c>
      <c r="N101" s="230">
        <f>IFERROR(_xlfn.XLOOKUP($A101,'Raw Data'!$A:$A,'Raw Data'!$AY:$AY),"")</f>
        <v>0</v>
      </c>
      <c r="O101" s="231">
        <f>IFERROR(1-(SUMIF('Plant BD'!$B:$B,A101,'Plant BD'!$AE:$AE)/(AA101+SUMIF('Plant BD'!$B:$B,A101,'Plant BD'!$AE:$AE))),"")</f>
        <v>1</v>
      </c>
      <c r="P101" s="231"/>
      <c r="Q101" s="232"/>
      <c r="R101" s="231">
        <f>IFERROR(1-(SUMIF('Grid BD'!$B:$B,$A101,'Grid BD'!$AD:$AD)/($AA101+SUMIF('Grid BD'!$B:$B,$A101,'Grid BD'!AD:AD))),"")</f>
        <v>1</v>
      </c>
      <c r="S101" s="6"/>
      <c r="T101" s="232"/>
      <c r="U101" s="233">
        <f t="shared" si="8"/>
        <v>0.87935270788334519</v>
      </c>
      <c r="V101" s="233"/>
      <c r="W101" s="234">
        <f t="shared" si="6"/>
        <v>0.11335745234148416</v>
      </c>
      <c r="X101" s="227">
        <f>IFERROR(_xlfn.XLOOKUP($A101,'Raw Data'!$A:$A,'Raw Data'!$BA:$BA),"")</f>
        <v>66393.2</v>
      </c>
      <c r="Y101" s="227">
        <f>IFERROR(_xlfn.XLOOKUP($A101,'Raw Data'!$A:$A,'Raw Data'!BJ:BJ),"")</f>
        <v>66747.100000007777</v>
      </c>
      <c r="Z101" s="227">
        <f>IFERROR(_xlfn.XLOOKUP($A101,'Raw Data'!$A:$A,'Raw Data'!BK:BK),"")</f>
        <v>628.60000000000582</v>
      </c>
      <c r="AA101" s="227">
        <f>IFERROR(_xlfn.XLOOKUP($A101,'Raw Data'!$A:$A,'Raw Data'!BL:BL),"")</f>
        <v>66118.500000007771</v>
      </c>
      <c r="AB101" s="227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27">
        <f>IFERROR(_xlfn.XLOOKUP($D101,'Modelling New'!$D:$D,'Modelling New'!$T:$T)*1000,"")</f>
        <v>77476.763338544362</v>
      </c>
      <c r="AE101" s="234">
        <f>IFERROR(_xlfn.XLOOKUP($D101,'Modelling New'!$D:$D,'Modelling New'!$O:$O),"")</f>
        <v>0.72347043806469047</v>
      </c>
      <c r="AF101" s="234">
        <f>IFERROR(_xlfn.XLOOKUP($D101,'Modelling New'!$D:$D,'Modelling New'!$W:$W),"")</f>
        <v>0.1328307282790816</v>
      </c>
      <c r="AG101" s="234">
        <f>IFERROR(_xlfn.XLOOKUP($D101,'Modelling New'!$D:$D,'Modelling New'!AE:AE),"")</f>
        <v>0.995</v>
      </c>
      <c r="AH101" s="234">
        <v>0.99750000000000005</v>
      </c>
      <c r="AI101" s="6"/>
      <c r="AJ101" s="6"/>
      <c r="AK101" s="6"/>
      <c r="AL101" s="6"/>
      <c r="AM101" s="6"/>
      <c r="AN101" s="231"/>
      <c r="AO101" s="234"/>
      <c r="AP101" s="234"/>
      <c r="AQ101" s="234"/>
      <c r="AR101" s="227">
        <f>IFERROR(_xlfn.XLOOKUP($D101,'Modelling New'!$D:$D,'Modelling New'!$N:$N),"")</f>
        <v>24.303100000000001</v>
      </c>
      <c r="AS101" s="227"/>
    </row>
    <row r="102" spans="1:45" x14ac:dyDescent="0.35">
      <c r="A102" s="226">
        <f t="shared" si="9"/>
        <v>45845</v>
      </c>
      <c r="B102" s="227">
        <f>YEAR(Daily_KPI[[#This Row],[Date]])+IF(MONTH(Daily_KPI[[#This Row],[Date]])&gt;=4,1,0)</f>
        <v>2026</v>
      </c>
      <c r="C102" s="6">
        <f>YEAR(Daily_KPI[[#This Row],[Date]])</f>
        <v>2025</v>
      </c>
      <c r="D102" s="228">
        <f>Daily_KPI[[#This Row],[Date]]-DAY(Daily_KPI[[#This Row],[Date]])+1</f>
        <v>45839</v>
      </c>
      <c r="E102" s="6">
        <f t="shared" si="7"/>
        <v>31</v>
      </c>
      <c r="F102" s="229">
        <f>IFERROR(_xlfn.XLOOKUP($A102,'Raw Data'!$A:$A,'Raw Data'!$BR:$BR),"")</f>
        <v>11.883333333333333</v>
      </c>
      <c r="G102" s="230">
        <f>IFERROR(_xlfn.XLOOKUP($A102,'Raw Data'!$A:$A,'Raw Data'!$AO:$AO),"")</f>
        <v>0</v>
      </c>
      <c r="H102" s="230"/>
      <c r="I102" s="230">
        <f>IFERROR(_xlfn.XLOOKUP($A102,'Raw Data'!$A:$A,'Raw Data'!$AR:$AR),"")</f>
        <v>1.596209884678748</v>
      </c>
      <c r="J102" s="230"/>
      <c r="K102" s="230">
        <f>IFERROR(_xlfn.XLOOKUP($A102,'Raw Data'!$A:$A,'Raw Data'!$AV:$AV),"")</f>
        <v>0</v>
      </c>
      <c r="L102" s="230">
        <f>IFERROR(_xlfn.XLOOKUP($A102,'Raw Data'!$A:$A,'Raw Data'!$AW:$AW),"")</f>
        <v>0</v>
      </c>
      <c r="M102" s="230">
        <f>IFERROR(_xlfn.XLOOKUP($A102,'Raw Data'!$A:$A,'Raw Data'!$AX:$AX),"")</f>
        <v>0</v>
      </c>
      <c r="N102" s="230">
        <f>IFERROR(_xlfn.XLOOKUP($A102,'Raw Data'!$A:$A,'Raw Data'!$AY:$AY),"")</f>
        <v>0</v>
      </c>
      <c r="O102" s="231">
        <f>IFERROR(1-(SUMIF('Plant BD'!$B:$B,A102,'Plant BD'!$AE:$AE)/(AA102+SUMIF('Plant BD'!$B:$B,A102,'Plant BD'!$AE:$AE))),"")</f>
        <v>1</v>
      </c>
      <c r="P102" s="231"/>
      <c r="Q102" s="232"/>
      <c r="R102" s="231">
        <f>IFERROR(1-(SUMIF('Grid BD'!$B:$B,$A102,'Grid BD'!$AD:$AD)/($AA102+SUMIF('Grid BD'!$B:$B,$A102,'Grid BD'!AD:AD))),"")</f>
        <v>1</v>
      </c>
      <c r="S102" s="6"/>
      <c r="T102" s="232"/>
      <c r="U102" s="233">
        <f t="shared" si="8"/>
        <v>0.91448298897740155</v>
      </c>
      <c r="V102" s="233"/>
      <c r="W102" s="234">
        <f t="shared" si="6"/>
        <v>6.0821116099012286E-2</v>
      </c>
      <c r="X102" s="227">
        <f>IFERROR(_xlfn.XLOOKUP($A102,'Raw Data'!$A:$A,'Raw Data'!$BA:$BA),"")</f>
        <v>35750.6</v>
      </c>
      <c r="Y102" s="227">
        <f>IFERROR(_xlfn.XLOOKUP($A102,'Raw Data'!$A:$A,'Raw Data'!BJ:BJ),"")</f>
        <v>36176.699999981793</v>
      </c>
      <c r="Z102" s="227">
        <f>IFERROR(_xlfn.XLOOKUP($A102,'Raw Data'!$A:$A,'Raw Data'!BK:BK),"")</f>
        <v>701.30000000006021</v>
      </c>
      <c r="AA102" s="227">
        <f>IFERROR(_xlfn.XLOOKUP($A102,'Raw Data'!$A:$A,'Raw Data'!BL:BL),"")</f>
        <v>35475.399999981732</v>
      </c>
      <c r="AB102" s="227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27">
        <f>IFERROR(_xlfn.XLOOKUP($D102,'Modelling New'!$D:$D,'Modelling New'!$T:$T)*1000,"")</f>
        <v>77476.763338544362</v>
      </c>
      <c r="AE102" s="234">
        <f>IFERROR(_xlfn.XLOOKUP($D102,'Modelling New'!$D:$D,'Modelling New'!$O:$O),"")</f>
        <v>0.72347043806469047</v>
      </c>
      <c r="AF102" s="234">
        <f>IFERROR(_xlfn.XLOOKUP($D102,'Modelling New'!$D:$D,'Modelling New'!$W:$W),"")</f>
        <v>0.1328307282790816</v>
      </c>
      <c r="AG102" s="234">
        <f>IFERROR(_xlfn.XLOOKUP($D102,'Modelling New'!$D:$D,'Modelling New'!AE:AE),"")</f>
        <v>0.995</v>
      </c>
      <c r="AH102" s="234">
        <v>0.99750000000000005</v>
      </c>
      <c r="AI102" s="6"/>
      <c r="AJ102" s="6"/>
      <c r="AK102" s="6"/>
      <c r="AL102" s="6"/>
      <c r="AM102" s="6"/>
      <c r="AN102" s="231"/>
      <c r="AO102" s="234"/>
      <c r="AP102" s="234"/>
      <c r="AQ102" s="234"/>
      <c r="AR102" s="227">
        <f>IFERROR(_xlfn.XLOOKUP($D102,'Modelling New'!$D:$D,'Modelling New'!$N:$N),"")</f>
        <v>24.303100000000001</v>
      </c>
      <c r="AS102" s="227"/>
    </row>
    <row r="103" spans="1:45" x14ac:dyDescent="0.35">
      <c r="A103" s="226">
        <f t="shared" si="9"/>
        <v>45846</v>
      </c>
      <c r="B103" s="227">
        <f>YEAR(Daily_KPI[[#This Row],[Date]])+IF(MONTH(Daily_KPI[[#This Row],[Date]])&gt;=4,1,0)</f>
        <v>2026</v>
      </c>
      <c r="C103" s="6">
        <f>YEAR(Daily_KPI[[#This Row],[Date]])</f>
        <v>2025</v>
      </c>
      <c r="D103" s="228">
        <f>Daily_KPI[[#This Row],[Date]]-DAY(Daily_KPI[[#This Row],[Date]])+1</f>
        <v>45839</v>
      </c>
      <c r="E103" s="6">
        <f t="shared" si="7"/>
        <v>31</v>
      </c>
      <c r="F103" s="229">
        <f>IFERROR(_xlfn.XLOOKUP($A103,'Raw Data'!$A:$A,'Raw Data'!$BR:$BR),"")</f>
        <v>12.233333333333333</v>
      </c>
      <c r="G103" s="230">
        <f>IFERROR(_xlfn.XLOOKUP($A103,'Raw Data'!$A:$A,'Raw Data'!$AO:$AO),"")</f>
        <v>0</v>
      </c>
      <c r="H103" s="230"/>
      <c r="I103" s="230">
        <f>IFERROR(_xlfn.XLOOKUP($A103,'Raw Data'!$A:$A,'Raw Data'!$AR:$AR),"")</f>
        <v>2.2910570428336077</v>
      </c>
      <c r="J103" s="230"/>
      <c r="K103" s="230">
        <f>IFERROR(_xlfn.XLOOKUP($A103,'Raw Data'!$A:$A,'Raw Data'!$AV:$AV),"")</f>
        <v>0</v>
      </c>
      <c r="L103" s="230">
        <f>IFERROR(_xlfn.XLOOKUP($A103,'Raw Data'!$A:$A,'Raw Data'!$AW:$AW),"")</f>
        <v>0</v>
      </c>
      <c r="M103" s="230">
        <f>IFERROR(_xlfn.XLOOKUP($A103,'Raw Data'!$A:$A,'Raw Data'!$AX:$AX),"")</f>
        <v>0</v>
      </c>
      <c r="N103" s="230">
        <f>IFERROR(_xlfn.XLOOKUP($A103,'Raw Data'!$A:$A,'Raw Data'!$AY:$AY),"")</f>
        <v>0</v>
      </c>
      <c r="O103" s="231">
        <f>IFERROR(1-(SUMIF('Plant BD'!$B:$B,A103,'Plant BD'!$AE:$AE)/(AA103+SUMIF('Plant BD'!$B:$B,A103,'Plant BD'!$AE:$AE))),"")</f>
        <v>0.9916546787035263</v>
      </c>
      <c r="P103" s="231"/>
      <c r="Q103" s="232"/>
      <c r="R103" s="231">
        <f>IFERROR(1-(SUMIF('Grid BD'!$B:$B,$A103,'Grid BD'!$AD:$AD)/($AA103+SUMIF('Grid BD'!$B:$B,$A103,'Grid BD'!AD:AD))),"")</f>
        <v>1</v>
      </c>
      <c r="S103" s="6"/>
      <c r="T103" s="232"/>
      <c r="U103" s="233">
        <f t="shared" si="8"/>
        <v>0.90238309856911447</v>
      </c>
      <c r="V103" s="233"/>
      <c r="W103" s="234">
        <f t="shared" si="6"/>
        <v>8.6142131387949308E-2</v>
      </c>
      <c r="X103" s="227">
        <f>IFERROR(_xlfn.XLOOKUP($A103,'Raw Data'!$A:$A,'Raw Data'!$BA:$BA),"")</f>
        <v>50495.6</v>
      </c>
      <c r="Y103" s="227">
        <f>IFERROR(_xlfn.XLOOKUP($A103,'Raw Data'!$A:$A,'Raw Data'!BJ:BJ),"")</f>
        <v>51256.700000027195</v>
      </c>
      <c r="Z103" s="227">
        <f>IFERROR(_xlfn.XLOOKUP($A103,'Raw Data'!$A:$A,'Raw Data'!BK:BK),"")</f>
        <v>1012.1999999998934</v>
      </c>
      <c r="AA103" s="227">
        <f>IFERROR(_xlfn.XLOOKUP($A103,'Raw Data'!$A:$A,'Raw Data'!BL:BL),"")</f>
        <v>50244.500000027299</v>
      </c>
      <c r="AB103" s="227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27">
        <f>IFERROR(_xlfn.XLOOKUP($D103,'Modelling New'!$D:$D,'Modelling New'!$T:$T)*1000,"")</f>
        <v>77476.763338544362</v>
      </c>
      <c r="AE103" s="234">
        <f>IFERROR(_xlfn.XLOOKUP($D103,'Modelling New'!$D:$D,'Modelling New'!$O:$O),"")</f>
        <v>0.72347043806469047</v>
      </c>
      <c r="AF103" s="234">
        <f>IFERROR(_xlfn.XLOOKUP($D103,'Modelling New'!$D:$D,'Modelling New'!$W:$W),"")</f>
        <v>0.1328307282790816</v>
      </c>
      <c r="AG103" s="234">
        <f>IFERROR(_xlfn.XLOOKUP($D103,'Modelling New'!$D:$D,'Modelling New'!AE:AE),"")</f>
        <v>0.995</v>
      </c>
      <c r="AH103" s="234">
        <v>0.99750000000000005</v>
      </c>
      <c r="AI103" s="6"/>
      <c r="AJ103" s="6"/>
      <c r="AK103" s="6"/>
      <c r="AL103" s="6"/>
      <c r="AM103" s="6"/>
      <c r="AN103" s="231"/>
      <c r="AO103" s="234"/>
      <c r="AP103" s="234"/>
      <c r="AQ103" s="234"/>
      <c r="AR103" s="227">
        <f>IFERROR(_xlfn.XLOOKUP($D103,'Modelling New'!$D:$D,'Modelling New'!$N:$N),"")</f>
        <v>24.303100000000001</v>
      </c>
      <c r="AS103" s="227"/>
    </row>
    <row r="104" spans="1:45" x14ac:dyDescent="0.35">
      <c r="A104" s="226">
        <f t="shared" si="9"/>
        <v>45847</v>
      </c>
      <c r="B104" s="227">
        <f>YEAR(Daily_KPI[[#This Row],[Date]])+IF(MONTH(Daily_KPI[[#This Row],[Date]])&gt;=4,1,0)</f>
        <v>2026</v>
      </c>
      <c r="C104" s="6">
        <f>YEAR(Daily_KPI[[#This Row],[Date]])</f>
        <v>2025</v>
      </c>
      <c r="D104" s="228">
        <f>Daily_KPI[[#This Row],[Date]]-DAY(Daily_KPI[[#This Row],[Date]])+1</f>
        <v>45839</v>
      </c>
      <c r="E104" s="6">
        <f t="shared" si="7"/>
        <v>31</v>
      </c>
      <c r="F104" s="229">
        <f>IFERROR(_xlfn.XLOOKUP($A104,'Raw Data'!$A:$A,'Raw Data'!$BR:$BR),"")</f>
        <v>11.9</v>
      </c>
      <c r="G104" s="230">
        <f>IFERROR(_xlfn.XLOOKUP($A104,'Raw Data'!$A:$A,'Raw Data'!$AO:$AO),"")</f>
        <v>0</v>
      </c>
      <c r="H104" s="230"/>
      <c r="I104" s="230">
        <f>IFERROR(_xlfn.XLOOKUP($A104,'Raw Data'!$A:$A,'Raw Data'!$AR:$AR),"")</f>
        <v>2.2303209225700162</v>
      </c>
      <c r="J104" s="230"/>
      <c r="K104" s="230">
        <f>IFERROR(_xlfn.XLOOKUP($A104,'Raw Data'!$A:$A,'Raw Data'!$AV:$AV),"")</f>
        <v>0</v>
      </c>
      <c r="L104" s="230">
        <f>IFERROR(_xlfn.XLOOKUP($A104,'Raw Data'!$A:$A,'Raw Data'!$AW:$AW),"")</f>
        <v>0</v>
      </c>
      <c r="M104" s="230">
        <f>IFERROR(_xlfn.XLOOKUP($A104,'Raw Data'!$A:$A,'Raw Data'!$AX:$AX),"")</f>
        <v>0</v>
      </c>
      <c r="N104" s="230">
        <f>IFERROR(_xlfn.XLOOKUP($A104,'Raw Data'!$A:$A,'Raw Data'!$AY:$AY),"")</f>
        <v>0</v>
      </c>
      <c r="O104" s="231">
        <f>IFERROR(1-(SUMIF('Plant BD'!$B:$B,A104,'Plant BD'!$AE:$AE)/(AA104+SUMIF('Plant BD'!$B:$B,A104,'Plant BD'!$AE:$AE))),"")</f>
        <v>0.99935462245144013</v>
      </c>
      <c r="P104" s="231"/>
      <c r="Q104" s="232"/>
      <c r="R104" s="231">
        <f>IFERROR(1-(SUMIF('Grid BD'!$B:$B,$A104,'Grid BD'!$AD:$AD)/($AA104+SUMIF('Grid BD'!$B:$B,$A104,'Grid BD'!AD:AD))),"")</f>
        <v>1</v>
      </c>
      <c r="S104" s="6"/>
      <c r="T104" s="232"/>
      <c r="U104" s="233">
        <f t="shared" si="8"/>
        <v>0.88888745539408176</v>
      </c>
      <c r="V104" s="233"/>
      <c r="W104" s="234">
        <f t="shared" si="6"/>
        <v>8.2604345398976764E-2</v>
      </c>
      <c r="X104" s="227">
        <f>IFERROR(_xlfn.XLOOKUP($A104,'Raw Data'!$A:$A,'Raw Data'!$BA:$BA),"")</f>
        <v>48498.5</v>
      </c>
      <c r="Y104" s="227">
        <f>IFERROR(_xlfn.XLOOKUP($A104,'Raw Data'!$A:$A,'Raw Data'!BJ:BJ),"")</f>
        <v>49028.399999981048</v>
      </c>
      <c r="Z104" s="227">
        <f>IFERROR(_xlfn.XLOOKUP($A104,'Raw Data'!$A:$A,'Raw Data'!BK:BK),"")</f>
        <v>847.40000000010696</v>
      </c>
      <c r="AA104" s="227">
        <f>IFERROR(_xlfn.XLOOKUP($A104,'Raw Data'!$A:$A,'Raw Data'!BL:BL),"")</f>
        <v>48180.999999980937</v>
      </c>
      <c r="AB104" s="227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27">
        <f>IFERROR(_xlfn.XLOOKUP($D104,'Modelling New'!$D:$D,'Modelling New'!$T:$T)*1000,"")</f>
        <v>77476.763338544362</v>
      </c>
      <c r="AE104" s="234">
        <f>IFERROR(_xlfn.XLOOKUP($D104,'Modelling New'!$D:$D,'Modelling New'!$O:$O),"")</f>
        <v>0.72347043806469047</v>
      </c>
      <c r="AF104" s="234">
        <f>IFERROR(_xlfn.XLOOKUP($D104,'Modelling New'!$D:$D,'Modelling New'!$W:$W),"")</f>
        <v>0.1328307282790816</v>
      </c>
      <c r="AG104" s="234">
        <f>IFERROR(_xlfn.XLOOKUP($D104,'Modelling New'!$D:$D,'Modelling New'!AE:AE),"")</f>
        <v>0.995</v>
      </c>
      <c r="AH104" s="234">
        <v>0.99750000000000005</v>
      </c>
      <c r="AI104" s="6"/>
      <c r="AJ104" s="6"/>
      <c r="AK104" s="6"/>
      <c r="AL104" s="6"/>
      <c r="AM104" s="6"/>
      <c r="AN104" s="231"/>
      <c r="AO104" s="234"/>
      <c r="AP104" s="234"/>
      <c r="AQ104" s="234"/>
      <c r="AR104" s="227">
        <f>IFERROR(_xlfn.XLOOKUP($D104,'Modelling New'!$D:$D,'Modelling New'!$N:$N),"")</f>
        <v>24.303100000000001</v>
      </c>
      <c r="AS104" s="227"/>
    </row>
    <row r="105" spans="1:45" x14ac:dyDescent="0.35">
      <c r="A105" s="226">
        <f t="shared" si="9"/>
        <v>45848</v>
      </c>
      <c r="B105" s="227">
        <f>YEAR(Daily_KPI[[#This Row],[Date]])+IF(MONTH(Daily_KPI[[#This Row],[Date]])&gt;=4,1,0)</f>
        <v>2026</v>
      </c>
      <c r="C105" s="6">
        <f>YEAR(Daily_KPI[[#This Row],[Date]])</f>
        <v>2025</v>
      </c>
      <c r="D105" s="228">
        <f>Daily_KPI[[#This Row],[Date]]-DAY(Daily_KPI[[#This Row],[Date]])+1</f>
        <v>45839</v>
      </c>
      <c r="E105" s="6">
        <f t="shared" si="7"/>
        <v>31</v>
      </c>
      <c r="F105" s="229">
        <f>IFERROR(_xlfn.XLOOKUP($A105,'Raw Data'!$A:$A,'Raw Data'!$BR:$BR),"")</f>
        <v>12.350000000000001</v>
      </c>
      <c r="G105" s="230">
        <f>IFERROR(_xlfn.XLOOKUP($A105,'Raw Data'!$A:$A,'Raw Data'!$AO:$AO),"")</f>
        <v>0</v>
      </c>
      <c r="H105" s="230"/>
      <c r="I105" s="230">
        <f>IFERROR(_xlfn.XLOOKUP($A105,'Raw Data'!$A:$A,'Raw Data'!$AR:$AR),"")</f>
        <v>5.6836418451400332</v>
      </c>
      <c r="J105" s="230"/>
      <c r="K105" s="230">
        <f>IFERROR(_xlfn.XLOOKUP($A105,'Raw Data'!$A:$A,'Raw Data'!$AV:$AV),"")</f>
        <v>0</v>
      </c>
      <c r="L105" s="230">
        <f>IFERROR(_xlfn.XLOOKUP($A105,'Raw Data'!$A:$A,'Raw Data'!$AW:$AW),"")</f>
        <v>0</v>
      </c>
      <c r="M105" s="230">
        <f>IFERROR(_xlfn.XLOOKUP($A105,'Raw Data'!$A:$A,'Raw Data'!$AX:$AX),"")</f>
        <v>0</v>
      </c>
      <c r="N105" s="230">
        <f>IFERROR(_xlfn.XLOOKUP($A105,'Raw Data'!$A:$A,'Raw Data'!$AY:$AY),"")</f>
        <v>0</v>
      </c>
      <c r="O105" s="231">
        <f>IFERROR(1-(SUMIF('Plant BD'!$B:$B,A105,'Plant BD'!$AE:$AE)/(AA105+SUMIF('Plant BD'!$B:$B,A105,'Plant BD'!$AE:$AE))),"")</f>
        <v>0.37992094800214282</v>
      </c>
      <c r="P105" s="231"/>
      <c r="Q105" s="232"/>
      <c r="R105" s="231">
        <f>IFERROR(1-(SUMIF('Grid BD'!$B:$B,$A105,'Grid BD'!$AD:$AD)/($AA105+SUMIF('Grid BD'!$B:$B,$A105,'Grid BD'!AD:AD))),"")</f>
        <v>1</v>
      </c>
      <c r="S105" s="6"/>
      <c r="T105" s="232"/>
      <c r="U105" s="233">
        <f t="shared" si="8"/>
        <v>0.28470619661205687</v>
      </c>
      <c r="V105" s="233"/>
      <c r="W105" s="234">
        <f t="shared" si="6"/>
        <v>6.7423668859789676E-2</v>
      </c>
      <c r="X105" s="227">
        <f>IFERROR(_xlfn.XLOOKUP($A105,'Raw Data'!$A:$A,'Raw Data'!$BA:$BA),"")</f>
        <v>39884.300000000003</v>
      </c>
      <c r="Y105" s="227">
        <f>IFERROR(_xlfn.XLOOKUP($A105,'Raw Data'!$A:$A,'Raw Data'!BJ:BJ),"")</f>
        <v>40175.699999992503</v>
      </c>
      <c r="Z105" s="227">
        <f>IFERROR(_xlfn.XLOOKUP($A105,'Raw Data'!$A:$A,'Raw Data'!BK:BK),"")</f>
        <v>849.19999999999618</v>
      </c>
      <c r="AA105" s="227">
        <f>IFERROR(_xlfn.XLOOKUP($A105,'Raw Data'!$A:$A,'Raw Data'!BL:BL),"")</f>
        <v>39326.499999992506</v>
      </c>
      <c r="AB105" s="227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27">
        <f>IFERROR(_xlfn.XLOOKUP($D105,'Modelling New'!$D:$D,'Modelling New'!$T:$T)*1000,"")</f>
        <v>77476.763338544362</v>
      </c>
      <c r="AE105" s="234">
        <f>IFERROR(_xlfn.XLOOKUP($D105,'Modelling New'!$D:$D,'Modelling New'!$O:$O),"")</f>
        <v>0.72347043806469047</v>
      </c>
      <c r="AF105" s="234">
        <f>IFERROR(_xlfn.XLOOKUP($D105,'Modelling New'!$D:$D,'Modelling New'!$W:$W),"")</f>
        <v>0.1328307282790816</v>
      </c>
      <c r="AG105" s="234">
        <f>IFERROR(_xlfn.XLOOKUP($D105,'Modelling New'!$D:$D,'Modelling New'!AE:AE),"")</f>
        <v>0.995</v>
      </c>
      <c r="AH105" s="234">
        <v>0.99750000000000005</v>
      </c>
      <c r="AI105" s="6"/>
      <c r="AJ105" s="6"/>
      <c r="AK105" s="6"/>
      <c r="AL105" s="6"/>
      <c r="AM105" s="6"/>
      <c r="AN105" s="231"/>
      <c r="AO105" s="234"/>
      <c r="AP105" s="234"/>
      <c r="AQ105" s="234"/>
      <c r="AR105" s="227">
        <f>IFERROR(_xlfn.XLOOKUP($D105,'Modelling New'!$D:$D,'Modelling New'!$N:$N),"")</f>
        <v>24.303100000000001</v>
      </c>
      <c r="AS105" s="227"/>
    </row>
    <row r="106" spans="1:45" x14ac:dyDescent="0.35">
      <c r="A106" s="226">
        <f t="shared" si="9"/>
        <v>45849</v>
      </c>
      <c r="B106" s="227">
        <f>YEAR(Daily_KPI[[#This Row],[Date]])+IF(MONTH(Daily_KPI[[#This Row],[Date]])&gt;=4,1,0)</f>
        <v>2026</v>
      </c>
      <c r="C106" s="6">
        <f>YEAR(Daily_KPI[[#This Row],[Date]])</f>
        <v>2025</v>
      </c>
      <c r="D106" s="228">
        <f>Daily_KPI[[#This Row],[Date]]-DAY(Daily_KPI[[#This Row],[Date]])+1</f>
        <v>45839</v>
      </c>
      <c r="E106" s="6">
        <f t="shared" si="7"/>
        <v>31</v>
      </c>
      <c r="F106" s="229">
        <f>IFERROR(_xlfn.XLOOKUP($A106,'Raw Data'!$A:$A,'Raw Data'!$BR:$BR),"")</f>
        <v>12.2</v>
      </c>
      <c r="G106" s="230">
        <f>IFERROR(_xlfn.XLOOKUP($A106,'Raw Data'!$A:$A,'Raw Data'!$AO:$AO),"")</f>
        <v>0</v>
      </c>
      <c r="H106" s="230"/>
      <c r="I106" s="230">
        <f>IFERROR(_xlfn.XLOOKUP($A106,'Raw Data'!$A:$A,'Raw Data'!$AR:$AR),"")</f>
        <v>4.3835369028006586</v>
      </c>
      <c r="J106" s="230"/>
      <c r="K106" s="230">
        <f>IFERROR(_xlfn.XLOOKUP($A106,'Raw Data'!$A:$A,'Raw Data'!$AV:$AV),"")</f>
        <v>0</v>
      </c>
      <c r="L106" s="230">
        <f>IFERROR(_xlfn.XLOOKUP($A106,'Raw Data'!$A:$A,'Raw Data'!$AW:$AW),"")</f>
        <v>0</v>
      </c>
      <c r="M106" s="230">
        <f>IFERROR(_xlfn.XLOOKUP($A106,'Raw Data'!$A:$A,'Raw Data'!$AX:$AX),"")</f>
        <v>0</v>
      </c>
      <c r="N106" s="230">
        <f>IFERROR(_xlfn.XLOOKUP($A106,'Raw Data'!$A:$A,'Raw Data'!$AY:$AY),"")</f>
        <v>0</v>
      </c>
      <c r="O106" s="231">
        <f>IFERROR(1-(SUMIF('Plant BD'!$B:$B,A106,'Plant BD'!$AE:$AE)/(AA106+SUMIF('Plant BD'!$B:$B,A106,'Plant BD'!$AE:$AE))),"")</f>
        <v>0.98692841614357074</v>
      </c>
      <c r="P106" s="231"/>
      <c r="Q106" s="232"/>
      <c r="R106" s="231">
        <f>IFERROR(1-(SUMIF('Grid BD'!$B:$B,$A106,'Grid BD'!$AD:$AD)/($AA106+SUMIF('Grid BD'!$B:$B,$A106,'Grid BD'!AD:AD))),"")</f>
        <v>1</v>
      </c>
      <c r="S106" s="6"/>
      <c r="T106" s="232"/>
      <c r="U106" s="233">
        <f t="shared" si="8"/>
        <v>0.78901070396062556</v>
      </c>
      <c r="V106" s="233"/>
      <c r="W106" s="234">
        <f t="shared" si="6"/>
        <v>0.14411073072983865</v>
      </c>
      <c r="X106" s="227">
        <f>IFERROR(_xlfn.XLOOKUP($A106,'Raw Data'!$A:$A,'Raw Data'!$BA:$BA),"")</f>
        <v>85101.499999999985</v>
      </c>
      <c r="Y106" s="227">
        <f>IFERROR(_xlfn.XLOOKUP($A106,'Raw Data'!$A:$A,'Raw Data'!BJ:BJ),"")</f>
        <v>84886.200000008103</v>
      </c>
      <c r="Z106" s="227">
        <f>IFERROR(_xlfn.XLOOKUP($A106,'Raw Data'!$A:$A,'Raw Data'!BK:BK),"")</f>
        <v>830.09999999990214</v>
      </c>
      <c r="AA106" s="227">
        <f>IFERROR(_xlfn.XLOOKUP($A106,'Raw Data'!$A:$A,'Raw Data'!BL:BL),"")</f>
        <v>84056.100000008199</v>
      </c>
      <c r="AB106" s="227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27">
        <f>IFERROR(_xlfn.XLOOKUP($D106,'Modelling New'!$D:$D,'Modelling New'!$T:$T)*1000,"")</f>
        <v>77476.763338544362</v>
      </c>
      <c r="AE106" s="234">
        <f>IFERROR(_xlfn.XLOOKUP($D106,'Modelling New'!$D:$D,'Modelling New'!$O:$O),"")</f>
        <v>0.72347043806469047</v>
      </c>
      <c r="AF106" s="234">
        <f>IFERROR(_xlfn.XLOOKUP($D106,'Modelling New'!$D:$D,'Modelling New'!$W:$W),"")</f>
        <v>0.1328307282790816</v>
      </c>
      <c r="AG106" s="234">
        <f>IFERROR(_xlfn.XLOOKUP($D106,'Modelling New'!$D:$D,'Modelling New'!AE:AE),"")</f>
        <v>0.995</v>
      </c>
      <c r="AH106" s="234">
        <v>0.99750000000000005</v>
      </c>
      <c r="AI106" s="6"/>
      <c r="AJ106" s="6"/>
      <c r="AK106" s="6"/>
      <c r="AL106" s="6"/>
      <c r="AM106" s="6"/>
      <c r="AN106" s="231"/>
      <c r="AO106" s="234"/>
      <c r="AP106" s="234"/>
      <c r="AQ106" s="234"/>
      <c r="AR106" s="227">
        <f>IFERROR(_xlfn.XLOOKUP($D106,'Modelling New'!$D:$D,'Modelling New'!$N:$N),"")</f>
        <v>24.303100000000001</v>
      </c>
      <c r="AS106" s="227"/>
    </row>
    <row r="107" spans="1:45" x14ac:dyDescent="0.35">
      <c r="A107" s="226">
        <f t="shared" si="9"/>
        <v>45850</v>
      </c>
      <c r="B107" s="227">
        <f>YEAR(Daily_KPI[[#This Row],[Date]])+IF(MONTH(Daily_KPI[[#This Row],[Date]])&gt;=4,1,0)</f>
        <v>2026</v>
      </c>
      <c r="C107" s="6">
        <f>YEAR(Daily_KPI[[#This Row],[Date]])</f>
        <v>2025</v>
      </c>
      <c r="D107" s="228">
        <f>Daily_KPI[[#This Row],[Date]]-DAY(Daily_KPI[[#This Row],[Date]])+1</f>
        <v>45839</v>
      </c>
      <c r="E107" s="6">
        <f t="shared" si="7"/>
        <v>31</v>
      </c>
      <c r="F107" s="229">
        <f>IFERROR(_xlfn.XLOOKUP($A107,'Raw Data'!$A:$A,'Raw Data'!$BR:$BR),"")</f>
        <v>12.399999999999999</v>
      </c>
      <c r="G107" s="230">
        <f>IFERROR(_xlfn.XLOOKUP($A107,'Raw Data'!$A:$A,'Raw Data'!$AO:$AO),"")</f>
        <v>0</v>
      </c>
      <c r="H107" s="230"/>
      <c r="I107" s="230">
        <f>IFERROR(_xlfn.XLOOKUP($A107,'Raw Data'!$A:$A,'Raw Data'!$AR:$AR),"")</f>
        <v>5.6016638385502464</v>
      </c>
      <c r="J107" s="230"/>
      <c r="K107" s="230">
        <f>IFERROR(_xlfn.XLOOKUP($A107,'Raw Data'!$A:$A,'Raw Data'!$AV:$AV),"")</f>
        <v>0</v>
      </c>
      <c r="L107" s="230">
        <f>IFERROR(_xlfn.XLOOKUP($A107,'Raw Data'!$A:$A,'Raw Data'!$AW:$AW),"")</f>
        <v>0</v>
      </c>
      <c r="M107" s="230">
        <f>IFERROR(_xlfn.XLOOKUP($A107,'Raw Data'!$A:$A,'Raw Data'!$AX:$AX),"")</f>
        <v>0</v>
      </c>
      <c r="N107" s="230">
        <f>IFERROR(_xlfn.XLOOKUP($A107,'Raw Data'!$A:$A,'Raw Data'!$AY:$AY),"")</f>
        <v>0</v>
      </c>
      <c r="O107" s="231">
        <f>IFERROR(1-(SUMIF('Plant BD'!$B:$B,A107,'Plant BD'!$AE:$AE)/(AA107+SUMIF('Plant BD'!$B:$B,A107,'Plant BD'!$AE:$AE))),"")</f>
        <v>0.8623662756526832</v>
      </c>
      <c r="P107" s="231"/>
      <c r="Q107" s="232"/>
      <c r="R107" s="231">
        <f>IFERROR(1-(SUMIF('Grid BD'!$B:$B,$A107,'Grid BD'!$AD:$AD)/($AA107+SUMIF('Grid BD'!$B:$B,$A107,'Grid BD'!AD:AD))),"")</f>
        <v>1</v>
      </c>
      <c r="S107" s="6"/>
      <c r="T107" s="232"/>
      <c r="U107" s="233">
        <f t="shared" si="8"/>
        <v>0.66154589216684101</v>
      </c>
      <c r="V107" s="233"/>
      <c r="W107" s="234">
        <f t="shared" ref="W107:W170" si="10">IFERROR(AA107/(24*AR107*1000),"")</f>
        <v>0.15440657090385224</v>
      </c>
      <c r="X107" s="227">
        <f>IFERROR(_xlfn.XLOOKUP($A107,'Raw Data'!$A:$A,'Raw Data'!$BA:$BA),"")</f>
        <v>91082.799999999988</v>
      </c>
      <c r="Y107" s="227">
        <f>IFERROR(_xlfn.XLOOKUP($A107,'Raw Data'!$A:$A,'Raw Data'!BJ:BJ),"")</f>
        <v>90964.500000001863</v>
      </c>
      <c r="Z107" s="227">
        <f>IFERROR(_xlfn.XLOOKUP($A107,'Raw Data'!$A:$A,'Raw Data'!BK:BK),"")</f>
        <v>903.09999999999491</v>
      </c>
      <c r="AA107" s="227">
        <f>IFERROR(_xlfn.XLOOKUP($A107,'Raw Data'!$A:$A,'Raw Data'!BL:BL),"")</f>
        <v>90061.400000001871</v>
      </c>
      <c r="AB107" s="227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27">
        <f>IFERROR(_xlfn.XLOOKUP($D107,'Modelling New'!$D:$D,'Modelling New'!$T:$T)*1000,"")</f>
        <v>77476.763338544362</v>
      </c>
      <c r="AE107" s="234">
        <f>IFERROR(_xlfn.XLOOKUP($D107,'Modelling New'!$D:$D,'Modelling New'!$O:$O),"")</f>
        <v>0.72347043806469047</v>
      </c>
      <c r="AF107" s="234">
        <f>IFERROR(_xlfn.XLOOKUP($D107,'Modelling New'!$D:$D,'Modelling New'!$W:$W),"")</f>
        <v>0.1328307282790816</v>
      </c>
      <c r="AG107" s="234">
        <f>IFERROR(_xlfn.XLOOKUP($D107,'Modelling New'!$D:$D,'Modelling New'!AE:AE),"")</f>
        <v>0.995</v>
      </c>
      <c r="AH107" s="234">
        <v>0.99750000000000005</v>
      </c>
      <c r="AI107" s="6"/>
      <c r="AJ107" s="6"/>
      <c r="AK107" s="6"/>
      <c r="AL107" s="6"/>
      <c r="AM107" s="6"/>
      <c r="AN107" s="231"/>
      <c r="AO107" s="234"/>
      <c r="AP107" s="234"/>
      <c r="AQ107" s="234"/>
      <c r="AR107" s="227">
        <f>IFERROR(_xlfn.XLOOKUP($D107,'Modelling New'!$D:$D,'Modelling New'!$N:$N),"")</f>
        <v>24.303100000000001</v>
      </c>
      <c r="AS107" s="227"/>
    </row>
    <row r="108" spans="1:45" x14ac:dyDescent="0.35">
      <c r="A108" s="226">
        <f t="shared" si="9"/>
        <v>45851</v>
      </c>
      <c r="B108" s="227">
        <f>YEAR(Daily_KPI[[#This Row],[Date]])+IF(MONTH(Daily_KPI[[#This Row],[Date]])&gt;=4,1,0)</f>
        <v>2026</v>
      </c>
      <c r="C108" s="6">
        <f>YEAR(Daily_KPI[[#This Row],[Date]])</f>
        <v>2025</v>
      </c>
      <c r="D108" s="228">
        <f>Daily_KPI[[#This Row],[Date]]-DAY(Daily_KPI[[#This Row],[Date]])+1</f>
        <v>45839</v>
      </c>
      <c r="E108" s="6">
        <f t="shared" si="7"/>
        <v>31</v>
      </c>
      <c r="F108" s="229">
        <f>IFERROR(_xlfn.XLOOKUP($A108,'Raw Data'!$A:$A,'Raw Data'!$BR:$BR),"")</f>
        <v>12.116666666666669</v>
      </c>
      <c r="G108" s="230">
        <f>IFERROR(_xlfn.XLOOKUP($A108,'Raw Data'!$A:$A,'Raw Data'!$AO:$AO),"")</f>
        <v>0</v>
      </c>
      <c r="H108" s="230"/>
      <c r="I108" s="230">
        <f>IFERROR(_xlfn.XLOOKUP($A108,'Raw Data'!$A:$A,'Raw Data'!$AR:$AR),"")</f>
        <v>4.240374917627677</v>
      </c>
      <c r="J108" s="230"/>
      <c r="K108" s="230">
        <f>IFERROR(_xlfn.XLOOKUP($A108,'Raw Data'!$A:$A,'Raw Data'!$AV:$AV),"")</f>
        <v>0</v>
      </c>
      <c r="L108" s="230">
        <f>IFERROR(_xlfn.XLOOKUP($A108,'Raw Data'!$A:$A,'Raw Data'!$AW:$AW),"")</f>
        <v>0</v>
      </c>
      <c r="M108" s="230">
        <f>IFERROR(_xlfn.XLOOKUP($A108,'Raw Data'!$A:$A,'Raw Data'!$AX:$AX),"")</f>
        <v>0</v>
      </c>
      <c r="N108" s="230">
        <f>IFERROR(_xlfn.XLOOKUP($A108,'Raw Data'!$A:$A,'Raw Data'!$AY:$AY),"")</f>
        <v>0</v>
      </c>
      <c r="O108" s="231">
        <f>IFERROR(1-(SUMIF('Plant BD'!$B:$B,A108,'Plant BD'!$AE:$AE)/(AA108+SUMIF('Plant BD'!$B:$B,A108,'Plant BD'!$AE:$AE))),"")</f>
        <v>0.99956174516103535</v>
      </c>
      <c r="P108" s="231"/>
      <c r="Q108" s="232"/>
      <c r="R108" s="231">
        <f>IFERROR(1-(SUMIF('Grid BD'!$B:$B,$A108,'Grid BD'!$AD:$AD)/($AA108+SUMIF('Grid BD'!$B:$B,$A108,'Grid BD'!AD:AD))),"")</f>
        <v>1</v>
      </c>
      <c r="S108" s="6"/>
      <c r="T108" s="232"/>
      <c r="U108" s="233">
        <f t="shared" si="8"/>
        <v>0.83209664123364968</v>
      </c>
      <c r="V108" s="233"/>
      <c r="W108" s="234">
        <f t="shared" si="10"/>
        <v>0.14701673860539186</v>
      </c>
      <c r="X108" s="227">
        <f>IFERROR(_xlfn.XLOOKUP($A108,'Raw Data'!$A:$A,'Raw Data'!$BA:$BA),"")</f>
        <v>86443.499999999985</v>
      </c>
      <c r="Y108" s="227">
        <f>IFERROR(_xlfn.XLOOKUP($A108,'Raw Data'!$A:$A,'Raw Data'!BJ:BJ),"")</f>
        <v>86425.600000016857</v>
      </c>
      <c r="Z108" s="227">
        <f>IFERROR(_xlfn.XLOOKUP($A108,'Raw Data'!$A:$A,'Raw Data'!BK:BK),"")</f>
        <v>674.50000000008004</v>
      </c>
      <c r="AA108" s="227">
        <f>IFERROR(_xlfn.XLOOKUP($A108,'Raw Data'!$A:$A,'Raw Data'!BL:BL),"")</f>
        <v>85751.10000001677</v>
      </c>
      <c r="AB108" s="227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27">
        <f>IFERROR(_xlfn.XLOOKUP($D108,'Modelling New'!$D:$D,'Modelling New'!$T:$T)*1000,"")</f>
        <v>77476.763338544362</v>
      </c>
      <c r="AE108" s="234">
        <f>IFERROR(_xlfn.XLOOKUP($D108,'Modelling New'!$D:$D,'Modelling New'!$O:$O),"")</f>
        <v>0.72347043806469047</v>
      </c>
      <c r="AF108" s="234">
        <f>IFERROR(_xlfn.XLOOKUP($D108,'Modelling New'!$D:$D,'Modelling New'!$W:$W),"")</f>
        <v>0.1328307282790816</v>
      </c>
      <c r="AG108" s="234">
        <f>IFERROR(_xlfn.XLOOKUP($D108,'Modelling New'!$D:$D,'Modelling New'!AE:AE),"")</f>
        <v>0.995</v>
      </c>
      <c r="AH108" s="234">
        <v>0.99750000000000005</v>
      </c>
      <c r="AI108" s="6"/>
      <c r="AJ108" s="6"/>
      <c r="AK108" s="6"/>
      <c r="AL108" s="6"/>
      <c r="AM108" s="6"/>
      <c r="AN108" s="231"/>
      <c r="AO108" s="234"/>
      <c r="AP108" s="234"/>
      <c r="AQ108" s="234"/>
      <c r="AR108" s="227">
        <f>IFERROR(_xlfn.XLOOKUP($D108,'Modelling New'!$D:$D,'Modelling New'!$N:$N),"")</f>
        <v>24.303100000000001</v>
      </c>
      <c r="AS108" s="227"/>
    </row>
    <row r="109" spans="1:45" x14ac:dyDescent="0.35">
      <c r="A109" s="226">
        <f t="shared" si="9"/>
        <v>45852</v>
      </c>
      <c r="B109" s="227">
        <f>YEAR(Daily_KPI[[#This Row],[Date]])+IF(MONTH(Daily_KPI[[#This Row],[Date]])&gt;=4,1,0)</f>
        <v>2026</v>
      </c>
      <c r="C109" s="6">
        <f>YEAR(Daily_KPI[[#This Row],[Date]])</f>
        <v>2025</v>
      </c>
      <c r="D109" s="228">
        <f>Daily_KPI[[#This Row],[Date]]-DAY(Daily_KPI[[#This Row],[Date]])+1</f>
        <v>45839</v>
      </c>
      <c r="E109" s="6">
        <f t="shared" si="7"/>
        <v>31</v>
      </c>
      <c r="F109" s="229">
        <f>IFERROR(_xlfn.XLOOKUP($A109,'Raw Data'!$A:$A,'Raw Data'!$BR:$BR),"")</f>
        <v>12.450000000000001</v>
      </c>
      <c r="G109" s="230">
        <f>IFERROR(_xlfn.XLOOKUP($A109,'Raw Data'!$A:$A,'Raw Data'!$AO:$AO),"")</f>
        <v>0</v>
      </c>
      <c r="H109" s="230"/>
      <c r="I109" s="230">
        <f>IFERROR(_xlfn.XLOOKUP($A109,'Raw Data'!$A:$A,'Raw Data'!$AR:$AR),"")</f>
        <v>4.5135939456342662</v>
      </c>
      <c r="J109" s="230"/>
      <c r="K109" s="230">
        <f>IFERROR(_xlfn.XLOOKUP($A109,'Raw Data'!$A:$A,'Raw Data'!$AV:$AV),"")</f>
        <v>0</v>
      </c>
      <c r="L109" s="230">
        <f>IFERROR(_xlfn.XLOOKUP($A109,'Raw Data'!$A:$A,'Raw Data'!$AW:$AW),"")</f>
        <v>0</v>
      </c>
      <c r="M109" s="230">
        <f>IFERROR(_xlfn.XLOOKUP($A109,'Raw Data'!$A:$A,'Raw Data'!$AX:$AX),"")</f>
        <v>0</v>
      </c>
      <c r="N109" s="230">
        <f>IFERROR(_xlfn.XLOOKUP($A109,'Raw Data'!$A:$A,'Raw Data'!$AY:$AY),"")</f>
        <v>0</v>
      </c>
      <c r="O109" s="231">
        <f>IFERROR(1-(SUMIF('Plant BD'!$B:$B,A109,'Plant BD'!$AE:$AE)/(AA109+SUMIF('Plant BD'!$B:$B,A109,'Plant BD'!$AE:$AE))),"")</f>
        <v>0.95720915179430299</v>
      </c>
      <c r="P109" s="231"/>
      <c r="Q109" s="232"/>
      <c r="R109" s="231">
        <f>IFERROR(1-(SUMIF('Grid BD'!$B:$B,$A109,'Grid BD'!$AD:$AD)/($AA109+SUMIF('Grid BD'!$B:$B,$A109,'Grid BD'!AD:AD))),"")</f>
        <v>1</v>
      </c>
      <c r="S109" s="6"/>
      <c r="T109" s="232"/>
      <c r="U109" s="233">
        <f t="shared" si="8"/>
        <v>0.7849840908740523</v>
      </c>
      <c r="V109" s="233"/>
      <c r="W109" s="234">
        <f t="shared" si="10"/>
        <v>0.14762914333284755</v>
      </c>
      <c r="X109" s="227">
        <f>IFERROR(_xlfn.XLOOKUP($A109,'Raw Data'!$A:$A,'Raw Data'!$BA:$BA),"")</f>
        <v>87044.299999999988</v>
      </c>
      <c r="Y109" s="227">
        <f>IFERROR(_xlfn.XLOOKUP($A109,'Raw Data'!$A:$A,'Raw Data'!BJ:BJ),"")</f>
        <v>86922.999999980675</v>
      </c>
      <c r="Z109" s="227">
        <f>IFERROR(_xlfn.XLOOKUP($A109,'Raw Data'!$A:$A,'Raw Data'!BK:BK),"")</f>
        <v>814.70000000001619</v>
      </c>
      <c r="AA109" s="227">
        <f>IFERROR(_xlfn.XLOOKUP($A109,'Raw Data'!$A:$A,'Raw Data'!BL:BL),"")</f>
        <v>86108.299999980663</v>
      </c>
      <c r="AB109" s="227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27">
        <f>IFERROR(_xlfn.XLOOKUP($D109,'Modelling New'!$D:$D,'Modelling New'!$T:$T)*1000,"")</f>
        <v>77476.763338544362</v>
      </c>
      <c r="AE109" s="234">
        <f>IFERROR(_xlfn.XLOOKUP($D109,'Modelling New'!$D:$D,'Modelling New'!$O:$O),"")</f>
        <v>0.72347043806469047</v>
      </c>
      <c r="AF109" s="234">
        <f>IFERROR(_xlfn.XLOOKUP($D109,'Modelling New'!$D:$D,'Modelling New'!$W:$W),"")</f>
        <v>0.1328307282790816</v>
      </c>
      <c r="AG109" s="234">
        <f>IFERROR(_xlfn.XLOOKUP($D109,'Modelling New'!$D:$D,'Modelling New'!AE:AE),"")</f>
        <v>0.995</v>
      </c>
      <c r="AH109" s="234">
        <v>0.99750000000000005</v>
      </c>
      <c r="AI109" s="6"/>
      <c r="AJ109" s="6"/>
      <c r="AK109" s="6"/>
      <c r="AL109" s="6"/>
      <c r="AM109" s="6"/>
      <c r="AN109" s="231"/>
      <c r="AO109" s="234"/>
      <c r="AP109" s="234"/>
      <c r="AQ109" s="234"/>
      <c r="AR109" s="227">
        <f>IFERROR(_xlfn.XLOOKUP($D109,'Modelling New'!$D:$D,'Modelling New'!$N:$N),"")</f>
        <v>24.303100000000001</v>
      </c>
      <c r="AS109" s="227"/>
    </row>
    <row r="110" spans="1:45" x14ac:dyDescent="0.35">
      <c r="A110" s="226">
        <f t="shared" si="9"/>
        <v>45853</v>
      </c>
      <c r="B110" s="227">
        <f>YEAR(Daily_KPI[[#This Row],[Date]])+IF(MONTH(Daily_KPI[[#This Row],[Date]])&gt;=4,1,0)</f>
        <v>2026</v>
      </c>
      <c r="C110" s="6">
        <f>YEAR(Daily_KPI[[#This Row],[Date]])</f>
        <v>2025</v>
      </c>
      <c r="D110" s="228">
        <f>Daily_KPI[[#This Row],[Date]]-DAY(Daily_KPI[[#This Row],[Date]])+1</f>
        <v>45839</v>
      </c>
      <c r="E110" s="6">
        <f t="shared" si="7"/>
        <v>31</v>
      </c>
      <c r="F110" s="229">
        <f>IFERROR(_xlfn.XLOOKUP($A110,'Raw Data'!$A:$A,'Raw Data'!$BR:$BR),"")</f>
        <v>12.416666666666668</v>
      </c>
      <c r="G110" s="230">
        <f>IFERROR(_xlfn.XLOOKUP($A110,'Raw Data'!$A:$A,'Raw Data'!$AO:$AO),"")</f>
        <v>0</v>
      </c>
      <c r="H110" s="230"/>
      <c r="I110" s="230">
        <f>IFERROR(_xlfn.XLOOKUP($A110,'Raw Data'!$A:$A,'Raw Data'!$AR:$AR),"")</f>
        <v>3.4976503294892916</v>
      </c>
      <c r="J110" s="230"/>
      <c r="K110" s="230">
        <f>IFERROR(_xlfn.XLOOKUP($A110,'Raw Data'!$A:$A,'Raw Data'!$AV:$AV),"")</f>
        <v>0</v>
      </c>
      <c r="L110" s="230">
        <f>IFERROR(_xlfn.XLOOKUP($A110,'Raw Data'!$A:$A,'Raw Data'!$AW:$AW),"")</f>
        <v>0</v>
      </c>
      <c r="M110" s="230">
        <f>IFERROR(_xlfn.XLOOKUP($A110,'Raw Data'!$A:$A,'Raw Data'!$AX:$AX),"")</f>
        <v>0</v>
      </c>
      <c r="N110" s="230">
        <f>IFERROR(_xlfn.XLOOKUP($A110,'Raw Data'!$A:$A,'Raw Data'!$AY:$AY),"")</f>
        <v>0</v>
      </c>
      <c r="O110" s="231">
        <f>IFERROR(1-(SUMIF('Plant BD'!$B:$B,A110,'Plant BD'!$AE:$AE)/(AA110+SUMIF('Plant BD'!$B:$B,A110,'Plant BD'!$AE:$AE))),"")</f>
        <v>1</v>
      </c>
      <c r="P110" s="231"/>
      <c r="Q110" s="232"/>
      <c r="R110" s="231">
        <f>IFERROR(1-(SUMIF('Grid BD'!$B:$B,$A110,'Grid BD'!$AD:$AD)/($AA110+SUMIF('Grid BD'!$B:$B,$A110,'Grid BD'!AD:AD))),"")</f>
        <v>1</v>
      </c>
      <c r="S110" s="6"/>
      <c r="T110" s="232"/>
      <c r="U110" s="233">
        <f t="shared" si="8"/>
        <v>0.93688459635531451</v>
      </c>
      <c r="V110" s="233"/>
      <c r="W110" s="234">
        <f t="shared" si="10"/>
        <v>0.13653727988065031</v>
      </c>
      <c r="X110" s="227">
        <f>IFERROR(_xlfn.XLOOKUP($A110,'Raw Data'!$A:$A,'Raw Data'!$BA:$BA),"")</f>
        <v>80637.2</v>
      </c>
      <c r="Y110" s="227">
        <f>IFERROR(_xlfn.XLOOKUP($A110,'Raw Data'!$A:$A,'Raw Data'!BJ:BJ),"")</f>
        <v>80688.500000018394</v>
      </c>
      <c r="Z110" s="227">
        <f>IFERROR(_xlfn.XLOOKUP($A110,'Raw Data'!$A:$A,'Raw Data'!BK:BK),"")</f>
        <v>1049.8000000000047</v>
      </c>
      <c r="AA110" s="227">
        <f>IFERROR(_xlfn.XLOOKUP($A110,'Raw Data'!$A:$A,'Raw Data'!BL:BL),"")</f>
        <v>79638.700000018391</v>
      </c>
      <c r="AB110" s="227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27">
        <f>IFERROR(_xlfn.XLOOKUP($D110,'Modelling New'!$D:$D,'Modelling New'!$T:$T)*1000,"")</f>
        <v>77476.763338544362</v>
      </c>
      <c r="AE110" s="234">
        <f>IFERROR(_xlfn.XLOOKUP($D110,'Modelling New'!$D:$D,'Modelling New'!$O:$O),"")</f>
        <v>0.72347043806469047</v>
      </c>
      <c r="AF110" s="234">
        <f>IFERROR(_xlfn.XLOOKUP($D110,'Modelling New'!$D:$D,'Modelling New'!$W:$W),"")</f>
        <v>0.1328307282790816</v>
      </c>
      <c r="AG110" s="234">
        <f>IFERROR(_xlfn.XLOOKUP($D110,'Modelling New'!$D:$D,'Modelling New'!AE:AE),"")</f>
        <v>0.995</v>
      </c>
      <c r="AH110" s="234">
        <v>0.99750000000000005</v>
      </c>
      <c r="AI110" s="6"/>
      <c r="AJ110" s="6"/>
      <c r="AK110" s="6"/>
      <c r="AL110" s="6"/>
      <c r="AM110" s="6"/>
      <c r="AN110" s="231"/>
      <c r="AO110" s="234"/>
      <c r="AP110" s="234"/>
      <c r="AQ110" s="234"/>
      <c r="AR110" s="227">
        <f>IFERROR(_xlfn.XLOOKUP($D110,'Modelling New'!$D:$D,'Modelling New'!$N:$N),"")</f>
        <v>24.303100000000001</v>
      </c>
      <c r="AS110" s="227"/>
    </row>
    <row r="111" spans="1:45" x14ac:dyDescent="0.35">
      <c r="A111" s="226">
        <f t="shared" si="9"/>
        <v>45854</v>
      </c>
      <c r="B111" s="227">
        <f>YEAR(Daily_KPI[[#This Row],[Date]])+IF(MONTH(Daily_KPI[[#This Row],[Date]])&gt;=4,1,0)</f>
        <v>2026</v>
      </c>
      <c r="C111" s="6">
        <f>YEAR(Daily_KPI[[#This Row],[Date]])</f>
        <v>2025</v>
      </c>
      <c r="D111" s="228">
        <f>Daily_KPI[[#This Row],[Date]]-DAY(Daily_KPI[[#This Row],[Date]])+1</f>
        <v>45839</v>
      </c>
      <c r="E111" s="6">
        <f t="shared" si="7"/>
        <v>31</v>
      </c>
      <c r="F111" s="229">
        <f>IFERROR(_xlfn.XLOOKUP($A111,'Raw Data'!$A:$A,'Raw Data'!$BR:$BR),"")</f>
        <v>12.366666666666665</v>
      </c>
      <c r="G111" s="230">
        <f>IFERROR(_xlfn.XLOOKUP($A111,'Raw Data'!$A:$A,'Raw Data'!$AO:$AO),"")</f>
        <v>0</v>
      </c>
      <c r="H111" s="230"/>
      <c r="I111" s="230">
        <f>IFERROR(_xlfn.XLOOKUP($A111,'Raw Data'!$A:$A,'Raw Data'!$AR:$AR),"")</f>
        <v>4.8918275535420097</v>
      </c>
      <c r="J111" s="230"/>
      <c r="K111" s="230">
        <f>IFERROR(_xlfn.XLOOKUP($A111,'Raw Data'!$A:$A,'Raw Data'!$AV:$AV),"")</f>
        <v>0</v>
      </c>
      <c r="L111" s="230">
        <f>IFERROR(_xlfn.XLOOKUP($A111,'Raw Data'!$A:$A,'Raw Data'!$AW:$AW),"")</f>
        <v>0</v>
      </c>
      <c r="M111" s="230">
        <f>IFERROR(_xlfn.XLOOKUP($A111,'Raw Data'!$A:$A,'Raw Data'!$AX:$AX),"")</f>
        <v>0</v>
      </c>
      <c r="N111" s="230">
        <f>IFERROR(_xlfn.XLOOKUP($A111,'Raw Data'!$A:$A,'Raw Data'!$AY:$AY),"")</f>
        <v>0</v>
      </c>
      <c r="O111" s="231">
        <f>IFERROR(1-(SUMIF('Plant BD'!$B:$B,A111,'Plant BD'!$AE:$AE)/(AA111+SUMIF('Plant BD'!$B:$B,A111,'Plant BD'!$AE:$AE))),"")</f>
        <v>0.99242685283741683</v>
      </c>
      <c r="P111" s="231"/>
      <c r="Q111" s="232"/>
      <c r="R111" s="231">
        <f>IFERROR(1-(SUMIF('Grid BD'!$B:$B,$A111,'Grid BD'!$AD:$AD)/($AA111+SUMIF('Grid BD'!$B:$B,$A111,'Grid BD'!AD:AD))),"")</f>
        <v>1</v>
      </c>
      <c r="S111" s="6"/>
      <c r="T111" s="232"/>
      <c r="U111" s="233">
        <f t="shared" si="8"/>
        <v>0.89965415106684876</v>
      </c>
      <c r="V111" s="233"/>
      <c r="W111" s="234">
        <f t="shared" si="10"/>
        <v>0.18337304020196901</v>
      </c>
      <c r="X111" s="227">
        <f>IFERROR(_xlfn.XLOOKUP($A111,'Raw Data'!$A:$A,'Raw Data'!$BA:$BA),"")</f>
        <v>108261</v>
      </c>
      <c r="Y111" s="227">
        <f>IFERROR(_xlfn.XLOOKUP($A111,'Raw Data'!$A:$A,'Raw Data'!BJ:BJ),"")</f>
        <v>107775.29999997932</v>
      </c>
      <c r="Z111" s="227">
        <f>IFERROR(_xlfn.XLOOKUP($A111,'Raw Data'!$A:$A,'Raw Data'!BK:BK),"")</f>
        <v>818.49999999997181</v>
      </c>
      <c r="AA111" s="227">
        <f>IFERROR(_xlfn.XLOOKUP($A111,'Raw Data'!$A:$A,'Raw Data'!BL:BL),"")</f>
        <v>106956.79999997935</v>
      </c>
      <c r="AB111" s="227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27">
        <f>IFERROR(_xlfn.XLOOKUP($D111,'Modelling New'!$D:$D,'Modelling New'!$T:$T)*1000,"")</f>
        <v>77476.763338544362</v>
      </c>
      <c r="AE111" s="234">
        <f>IFERROR(_xlfn.XLOOKUP($D111,'Modelling New'!$D:$D,'Modelling New'!$O:$O),"")</f>
        <v>0.72347043806469047</v>
      </c>
      <c r="AF111" s="234">
        <f>IFERROR(_xlfn.XLOOKUP($D111,'Modelling New'!$D:$D,'Modelling New'!$W:$W),"")</f>
        <v>0.1328307282790816</v>
      </c>
      <c r="AG111" s="234">
        <f>IFERROR(_xlfn.XLOOKUP($D111,'Modelling New'!$D:$D,'Modelling New'!AE:AE),"")</f>
        <v>0.995</v>
      </c>
      <c r="AH111" s="234">
        <v>0.99750000000000005</v>
      </c>
      <c r="AI111" s="6"/>
      <c r="AJ111" s="6"/>
      <c r="AK111" s="6"/>
      <c r="AL111" s="6"/>
      <c r="AM111" s="6"/>
      <c r="AN111" s="231"/>
      <c r="AO111" s="234"/>
      <c r="AP111" s="234"/>
      <c r="AQ111" s="234"/>
      <c r="AR111" s="227">
        <f>IFERROR(_xlfn.XLOOKUP($D111,'Modelling New'!$D:$D,'Modelling New'!$N:$N),"")</f>
        <v>24.303100000000001</v>
      </c>
      <c r="AS111" s="227"/>
    </row>
    <row r="112" spans="1:45" x14ac:dyDescent="0.35">
      <c r="A112" s="226">
        <f t="shared" si="9"/>
        <v>45855</v>
      </c>
      <c r="B112" s="227">
        <f>YEAR(Daily_KPI[[#This Row],[Date]])+IF(MONTH(Daily_KPI[[#This Row],[Date]])&gt;=4,1,0)</f>
        <v>2026</v>
      </c>
      <c r="C112" s="6">
        <f>YEAR(Daily_KPI[[#This Row],[Date]])</f>
        <v>2025</v>
      </c>
      <c r="D112" s="228">
        <f>Daily_KPI[[#This Row],[Date]]-DAY(Daily_KPI[[#This Row],[Date]])+1</f>
        <v>45839</v>
      </c>
      <c r="E112" s="6">
        <f t="shared" si="7"/>
        <v>31</v>
      </c>
      <c r="F112" s="229">
        <f>IFERROR(_xlfn.XLOOKUP($A112,'Raw Data'!$A:$A,'Raw Data'!$BR:$BR),"")</f>
        <v>11.266666666666666</v>
      </c>
      <c r="G112" s="230">
        <f>IFERROR(_xlfn.XLOOKUP($A112,'Raw Data'!$A:$A,'Raw Data'!$AO:$AO),"")</f>
        <v>0</v>
      </c>
      <c r="H112" s="230"/>
      <c r="I112" s="230">
        <f>IFERROR(_xlfn.XLOOKUP($A112,'Raw Data'!$A:$A,'Raw Data'!$AR:$AR),"")</f>
        <v>3.6868441103789125</v>
      </c>
      <c r="J112" s="230"/>
      <c r="K112" s="230">
        <f>IFERROR(_xlfn.XLOOKUP($A112,'Raw Data'!$A:$A,'Raw Data'!$AV:$AV),"")</f>
        <v>0</v>
      </c>
      <c r="L112" s="230">
        <f>IFERROR(_xlfn.XLOOKUP($A112,'Raw Data'!$A:$A,'Raw Data'!$AW:$AW),"")</f>
        <v>0</v>
      </c>
      <c r="M112" s="230">
        <f>IFERROR(_xlfn.XLOOKUP($A112,'Raw Data'!$A:$A,'Raw Data'!$AX:$AX),"")</f>
        <v>0</v>
      </c>
      <c r="N112" s="230">
        <f>IFERROR(_xlfn.XLOOKUP($A112,'Raw Data'!$A:$A,'Raw Data'!$AY:$AY),"")</f>
        <v>0</v>
      </c>
      <c r="O112" s="231">
        <f>IFERROR(1-(SUMIF('Plant BD'!$B:$B,A112,'Plant BD'!$AE:$AE)/(AA112+SUMIF('Plant BD'!$B:$B,A112,'Plant BD'!$AE:$AE))),"")</f>
        <v>0.98132617498321828</v>
      </c>
      <c r="P112" s="231"/>
      <c r="Q112" s="232"/>
      <c r="R112" s="231">
        <f>IFERROR(1-(SUMIF('Grid BD'!$B:$B,$A112,'Grid BD'!$AD:$AD)/($AA112+SUMIF('Grid BD'!$B:$B,$A112,'Grid BD'!AD:AD))),"")</f>
        <v>1</v>
      </c>
      <c r="S112" s="6"/>
      <c r="T112" s="232"/>
      <c r="U112" s="233">
        <f t="shared" si="8"/>
        <v>0.80949766277325774</v>
      </c>
      <c r="V112" s="233"/>
      <c r="W112" s="234">
        <f t="shared" si="10"/>
        <v>0.12435382043171167</v>
      </c>
      <c r="X112" s="227">
        <f>IFERROR(_xlfn.XLOOKUP($A112,'Raw Data'!$A:$A,'Raw Data'!$BA:$BA),"")</f>
        <v>73604.83</v>
      </c>
      <c r="Y112" s="227">
        <f>IFERROR(_xlfn.XLOOKUP($A112,'Raw Data'!$A:$A,'Raw Data'!BJ:BJ),"")</f>
        <v>73682.900000014342</v>
      </c>
      <c r="Z112" s="227">
        <f>IFERROR(_xlfn.XLOOKUP($A112,'Raw Data'!$A:$A,'Raw Data'!BK:BK),"")</f>
        <v>1150.4999999999654</v>
      </c>
      <c r="AA112" s="227">
        <f>IFERROR(_xlfn.XLOOKUP($A112,'Raw Data'!$A:$A,'Raw Data'!BL:BL),"")</f>
        <v>72532.400000014371</v>
      </c>
      <c r="AB112" s="227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27">
        <f>IFERROR(_xlfn.XLOOKUP($D112,'Modelling New'!$D:$D,'Modelling New'!$T:$T)*1000,"")</f>
        <v>77476.763338544362</v>
      </c>
      <c r="AE112" s="234">
        <f>IFERROR(_xlfn.XLOOKUP($D112,'Modelling New'!$D:$D,'Modelling New'!$O:$O),"")</f>
        <v>0.72347043806469047</v>
      </c>
      <c r="AF112" s="234">
        <f>IFERROR(_xlfn.XLOOKUP($D112,'Modelling New'!$D:$D,'Modelling New'!$W:$W),"")</f>
        <v>0.1328307282790816</v>
      </c>
      <c r="AG112" s="234">
        <f>IFERROR(_xlfn.XLOOKUP($D112,'Modelling New'!$D:$D,'Modelling New'!AE:AE),"")</f>
        <v>0.995</v>
      </c>
      <c r="AH112" s="234">
        <v>0.99750000000000005</v>
      </c>
      <c r="AI112" s="6"/>
      <c r="AJ112" s="6"/>
      <c r="AK112" s="6"/>
      <c r="AL112" s="6"/>
      <c r="AM112" s="6"/>
      <c r="AN112" s="231"/>
      <c r="AO112" s="234"/>
      <c r="AP112" s="234"/>
      <c r="AQ112" s="234"/>
      <c r="AR112" s="227">
        <f>IFERROR(_xlfn.XLOOKUP($D112,'Modelling New'!$D:$D,'Modelling New'!$N:$N),"")</f>
        <v>24.303100000000001</v>
      </c>
      <c r="AS112" s="227"/>
    </row>
    <row r="113" spans="1:45" x14ac:dyDescent="0.35">
      <c r="A113" s="226">
        <f t="shared" si="9"/>
        <v>45856</v>
      </c>
      <c r="B113" s="227">
        <f>YEAR(Daily_KPI[[#This Row],[Date]])+IF(MONTH(Daily_KPI[[#This Row],[Date]])&gt;=4,1,0)</f>
        <v>2026</v>
      </c>
      <c r="C113" s="6">
        <f>YEAR(Daily_KPI[[#This Row],[Date]])</f>
        <v>2025</v>
      </c>
      <c r="D113" s="228">
        <f>Daily_KPI[[#This Row],[Date]]-DAY(Daily_KPI[[#This Row],[Date]])+1</f>
        <v>45839</v>
      </c>
      <c r="E113" s="6">
        <f t="shared" si="7"/>
        <v>31</v>
      </c>
      <c r="F113" s="229">
        <f>IFERROR(_xlfn.XLOOKUP($A113,'Raw Data'!$A:$A,'Raw Data'!$BR:$BR),"")</f>
        <v>12.183333333333335</v>
      </c>
      <c r="G113" s="230">
        <f>IFERROR(_xlfn.XLOOKUP($A113,'Raw Data'!$A:$A,'Raw Data'!$AO:$AO),"")</f>
        <v>0</v>
      </c>
      <c r="H113" s="230"/>
      <c r="I113" s="230">
        <f>IFERROR(_xlfn.XLOOKUP($A113,'Raw Data'!$A:$A,'Raw Data'!$AR:$AR),"")</f>
        <v>3.5969505766062602</v>
      </c>
      <c r="J113" s="230"/>
      <c r="K113" s="230">
        <f>IFERROR(_xlfn.XLOOKUP($A113,'Raw Data'!$A:$A,'Raw Data'!$AV:$AV),"")</f>
        <v>0</v>
      </c>
      <c r="L113" s="230">
        <f>IFERROR(_xlfn.XLOOKUP($A113,'Raw Data'!$A:$A,'Raw Data'!$AW:$AW),"")</f>
        <v>0</v>
      </c>
      <c r="M113" s="230">
        <f>IFERROR(_xlfn.XLOOKUP($A113,'Raw Data'!$A:$A,'Raw Data'!$AX:$AX),"")</f>
        <v>0</v>
      </c>
      <c r="N113" s="230">
        <f>IFERROR(_xlfn.XLOOKUP($A113,'Raw Data'!$A:$A,'Raw Data'!$AY:$AY),"")</f>
        <v>0</v>
      </c>
      <c r="O113" s="231">
        <f>IFERROR(1-(SUMIF('Plant BD'!$B:$B,A113,'Plant BD'!$AE:$AE)/(AA113+SUMIF('Plant BD'!$B:$B,A113,'Plant BD'!$AE:$AE))),"")</f>
        <v>0.99969296807552266</v>
      </c>
      <c r="P113" s="231"/>
      <c r="Q113" s="232"/>
      <c r="R113" s="231">
        <f>IFERROR(1-(SUMIF('Grid BD'!$B:$B,$A113,'Grid BD'!$AD:$AD)/($AA113+SUMIF('Grid BD'!$B:$B,$A113,'Grid BD'!AD:AD))),"")</f>
        <v>1</v>
      </c>
      <c r="S113" s="6"/>
      <c r="T113" s="232"/>
      <c r="U113" s="233">
        <f t="shared" si="8"/>
        <v>0.8347536363751662</v>
      </c>
      <c r="V113" s="233"/>
      <c r="W113" s="234">
        <f t="shared" si="10"/>
        <v>0.12510698223682609</v>
      </c>
      <c r="X113" s="227">
        <f>IFERROR(_xlfn.XLOOKUP($A113,'Raw Data'!$A:$A,'Raw Data'!$BA:$BA),"")</f>
        <v>73212.7</v>
      </c>
      <c r="Y113" s="227">
        <f>IFERROR(_xlfn.XLOOKUP($A113,'Raw Data'!$A:$A,'Raw Data'!BJ:BJ),"")</f>
        <v>73461.29999999539</v>
      </c>
      <c r="Z113" s="227">
        <f>IFERROR(_xlfn.XLOOKUP($A113,'Raw Data'!$A:$A,'Raw Data'!BK:BK),"")</f>
        <v>489.59999999999582</v>
      </c>
      <c r="AA113" s="227">
        <f>IFERROR(_xlfn.XLOOKUP($A113,'Raw Data'!$A:$A,'Raw Data'!BL:BL),"")</f>
        <v>72971.699999995399</v>
      </c>
      <c r="AB113" s="227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27">
        <f>IFERROR(_xlfn.XLOOKUP($D113,'Modelling New'!$D:$D,'Modelling New'!$T:$T)*1000,"")</f>
        <v>77476.763338544362</v>
      </c>
      <c r="AE113" s="234">
        <f>IFERROR(_xlfn.XLOOKUP($D113,'Modelling New'!$D:$D,'Modelling New'!$O:$O),"")</f>
        <v>0.72347043806469047</v>
      </c>
      <c r="AF113" s="234">
        <f>IFERROR(_xlfn.XLOOKUP($D113,'Modelling New'!$D:$D,'Modelling New'!$W:$W),"")</f>
        <v>0.1328307282790816</v>
      </c>
      <c r="AG113" s="234">
        <f>IFERROR(_xlfn.XLOOKUP($D113,'Modelling New'!$D:$D,'Modelling New'!AE:AE),"")</f>
        <v>0.995</v>
      </c>
      <c r="AH113" s="234">
        <v>0.99750000000000005</v>
      </c>
      <c r="AI113" s="6"/>
      <c r="AJ113" s="6"/>
      <c r="AK113" s="6"/>
      <c r="AL113" s="6"/>
      <c r="AM113" s="6"/>
      <c r="AN113" s="231"/>
      <c r="AO113" s="234"/>
      <c r="AP113" s="234"/>
      <c r="AQ113" s="234"/>
      <c r="AR113" s="227">
        <f>IFERROR(_xlfn.XLOOKUP($D113,'Modelling New'!$D:$D,'Modelling New'!$N:$N),"")</f>
        <v>24.303100000000001</v>
      </c>
      <c r="AS113" s="227"/>
    </row>
    <row r="114" spans="1:45" x14ac:dyDescent="0.35">
      <c r="A114" s="226">
        <f t="shared" si="9"/>
        <v>45857</v>
      </c>
      <c r="B114" s="227">
        <f>YEAR(Daily_KPI[[#This Row],[Date]])+IF(MONTH(Daily_KPI[[#This Row],[Date]])&gt;=4,1,0)</f>
        <v>2026</v>
      </c>
      <c r="C114" s="6">
        <f>YEAR(Daily_KPI[[#This Row],[Date]])</f>
        <v>2025</v>
      </c>
      <c r="D114" s="228">
        <f>Daily_KPI[[#This Row],[Date]]-DAY(Daily_KPI[[#This Row],[Date]])+1</f>
        <v>45839</v>
      </c>
      <c r="E114" s="6">
        <f t="shared" si="7"/>
        <v>31</v>
      </c>
      <c r="F114" s="229">
        <f>IFERROR(_xlfn.XLOOKUP($A114,'Raw Data'!$A:$A,'Raw Data'!$BR:$BR),"")</f>
        <v>12.516666666666667</v>
      </c>
      <c r="G114" s="230">
        <f>IFERROR(_xlfn.XLOOKUP($A114,'Raw Data'!$A:$A,'Raw Data'!$AO:$AO),"")</f>
        <v>0</v>
      </c>
      <c r="H114" s="230"/>
      <c r="I114" s="230">
        <f>IFERROR(_xlfn.XLOOKUP($A114,'Raw Data'!$A:$A,'Raw Data'!$AR:$AR),"")</f>
        <v>4.7290091433278416</v>
      </c>
      <c r="J114" s="230"/>
      <c r="K114" s="230">
        <f>IFERROR(_xlfn.XLOOKUP($A114,'Raw Data'!$A:$A,'Raw Data'!$AV:$AV),"")</f>
        <v>0</v>
      </c>
      <c r="L114" s="230">
        <f>IFERROR(_xlfn.XLOOKUP($A114,'Raw Data'!$A:$A,'Raw Data'!$AW:$AW),"")</f>
        <v>0</v>
      </c>
      <c r="M114" s="230">
        <f>IFERROR(_xlfn.XLOOKUP($A114,'Raw Data'!$A:$A,'Raw Data'!$AX:$AX),"")</f>
        <v>0</v>
      </c>
      <c r="N114" s="230">
        <f>IFERROR(_xlfn.XLOOKUP($A114,'Raw Data'!$A:$A,'Raw Data'!$AY:$AY),"")</f>
        <v>0</v>
      </c>
      <c r="O114" s="231">
        <f>IFERROR(1-(SUMIF('Plant BD'!$B:$B,A114,'Plant BD'!$AE:$AE)/(AA114+SUMIF('Plant BD'!$B:$B,A114,'Plant BD'!$AE:$AE))),"")</f>
        <v>1</v>
      </c>
      <c r="P114" s="231"/>
      <c r="Q114" s="232"/>
      <c r="R114" s="231">
        <f>IFERROR(1-(SUMIF('Grid BD'!$B:$B,$A114,'Grid BD'!$AD:$AD)/($AA114+SUMIF('Grid BD'!$B:$B,$A114,'Grid BD'!AD:AD))),"")</f>
        <v>1</v>
      </c>
      <c r="S114" s="6"/>
      <c r="T114" s="232"/>
      <c r="U114" s="233">
        <f t="shared" si="8"/>
        <v>0.82124287121028428</v>
      </c>
      <c r="V114" s="233"/>
      <c r="W114" s="234">
        <f t="shared" si="10"/>
        <v>0.1618193769519268</v>
      </c>
      <c r="X114" s="227">
        <f>IFERROR(_xlfn.XLOOKUP($A114,'Raw Data'!$A:$A,'Raw Data'!$BA:$BA),"")</f>
        <v>95442.400000000009</v>
      </c>
      <c r="Y114" s="227">
        <f>IFERROR(_xlfn.XLOOKUP($A114,'Raw Data'!$A:$A,'Raw Data'!BJ:BJ),"")</f>
        <v>95217.100000008941</v>
      </c>
      <c r="Z114" s="227">
        <f>IFERROR(_xlfn.XLOOKUP($A114,'Raw Data'!$A:$A,'Raw Data'!BK:BK),"")</f>
        <v>831.99999999999363</v>
      </c>
      <c r="AA114" s="227">
        <f>IFERROR(_xlfn.XLOOKUP($A114,'Raw Data'!$A:$A,'Raw Data'!BL:BL),"")</f>
        <v>94385.100000008941</v>
      </c>
      <c r="AB114" s="227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27">
        <f>IFERROR(_xlfn.XLOOKUP($D114,'Modelling New'!$D:$D,'Modelling New'!$T:$T)*1000,"")</f>
        <v>77476.763338544362</v>
      </c>
      <c r="AE114" s="234">
        <f>IFERROR(_xlfn.XLOOKUP($D114,'Modelling New'!$D:$D,'Modelling New'!$O:$O),"")</f>
        <v>0.72347043806469047</v>
      </c>
      <c r="AF114" s="234">
        <f>IFERROR(_xlfn.XLOOKUP($D114,'Modelling New'!$D:$D,'Modelling New'!$W:$W),"")</f>
        <v>0.1328307282790816</v>
      </c>
      <c r="AG114" s="234">
        <f>IFERROR(_xlfn.XLOOKUP($D114,'Modelling New'!$D:$D,'Modelling New'!AE:AE),"")</f>
        <v>0.995</v>
      </c>
      <c r="AH114" s="234">
        <v>0.99750000000000005</v>
      </c>
      <c r="AI114" s="6"/>
      <c r="AJ114" s="6"/>
      <c r="AK114" s="6"/>
      <c r="AL114" s="6"/>
      <c r="AM114" s="6"/>
      <c r="AN114" s="231"/>
      <c r="AO114" s="234"/>
      <c r="AP114" s="234"/>
      <c r="AQ114" s="234"/>
      <c r="AR114" s="227">
        <f>IFERROR(_xlfn.XLOOKUP($D114,'Modelling New'!$D:$D,'Modelling New'!$N:$N),"")</f>
        <v>24.303100000000001</v>
      </c>
      <c r="AS114" s="227"/>
    </row>
    <row r="115" spans="1:45" x14ac:dyDescent="0.35">
      <c r="A115" s="226">
        <f t="shared" si="9"/>
        <v>45858</v>
      </c>
      <c r="B115" s="227">
        <f>YEAR(Daily_KPI[[#This Row],[Date]])+IF(MONTH(Daily_KPI[[#This Row],[Date]])&gt;=4,1,0)</f>
        <v>2026</v>
      </c>
      <c r="C115" s="6">
        <f>YEAR(Daily_KPI[[#This Row],[Date]])</f>
        <v>2025</v>
      </c>
      <c r="D115" s="228">
        <f>Daily_KPI[[#This Row],[Date]]-DAY(Daily_KPI[[#This Row],[Date]])+1</f>
        <v>45839</v>
      </c>
      <c r="E115" s="6">
        <f t="shared" si="7"/>
        <v>31</v>
      </c>
      <c r="F115" s="229">
        <f>IFERROR(_xlfn.XLOOKUP($A115,'Raw Data'!$A:$A,'Raw Data'!$BR:$BR),"")</f>
        <v>12.383333333333335</v>
      </c>
      <c r="G115" s="230">
        <f>IFERROR(_xlfn.XLOOKUP($A115,'Raw Data'!$A:$A,'Raw Data'!$AO:$AO),"")</f>
        <v>0</v>
      </c>
      <c r="H115" s="230"/>
      <c r="I115" s="230">
        <f>IFERROR(_xlfn.XLOOKUP($A115,'Raw Data'!$A:$A,'Raw Data'!$AR:$AR),"")</f>
        <v>6.3300015238879723</v>
      </c>
      <c r="J115" s="230"/>
      <c r="K115" s="230">
        <f>IFERROR(_xlfn.XLOOKUP($A115,'Raw Data'!$A:$A,'Raw Data'!$AV:$AV),"")</f>
        <v>0</v>
      </c>
      <c r="L115" s="230">
        <f>IFERROR(_xlfn.XLOOKUP($A115,'Raw Data'!$A:$A,'Raw Data'!$AW:$AW),"")</f>
        <v>0</v>
      </c>
      <c r="M115" s="230">
        <f>IFERROR(_xlfn.XLOOKUP($A115,'Raw Data'!$A:$A,'Raw Data'!$AX:$AX),"")</f>
        <v>0</v>
      </c>
      <c r="N115" s="230">
        <f>IFERROR(_xlfn.XLOOKUP($A115,'Raw Data'!$A:$A,'Raw Data'!$AY:$AY),"")</f>
        <v>0</v>
      </c>
      <c r="O115" s="231">
        <f>IFERROR(1-(SUMIF('Plant BD'!$B:$B,A115,'Plant BD'!$AE:$AE)/(AA115+SUMIF('Plant BD'!$B:$B,A115,'Plant BD'!$AE:$AE))),"")</f>
        <v>0.98954389503590645</v>
      </c>
      <c r="P115" s="231"/>
      <c r="Q115" s="232"/>
      <c r="R115" s="231">
        <f>IFERROR(1-(SUMIF('Grid BD'!$B:$B,$A115,'Grid BD'!$AD:$AD)/($AA115+SUMIF('Grid BD'!$B:$B,$A115,'Grid BD'!AD:AD))),"")</f>
        <v>1</v>
      </c>
      <c r="S115" s="6"/>
      <c r="T115" s="232"/>
      <c r="U115" s="233">
        <f t="shared" si="8"/>
        <v>0.78725399696205101</v>
      </c>
      <c r="V115" s="233"/>
      <c r="W115" s="234">
        <f t="shared" si="10"/>
        <v>0.207638291685695</v>
      </c>
      <c r="X115" s="227">
        <f>IFERROR(_xlfn.XLOOKUP($A115,'Raw Data'!$A:$A,'Raw Data'!$BA:$BA),"")</f>
        <v>122941.9</v>
      </c>
      <c r="Y115" s="227">
        <f>IFERROR(_xlfn.XLOOKUP($A115,'Raw Data'!$A:$A,'Raw Data'!BJ:BJ),"")</f>
        <v>122034.89999999874</v>
      </c>
      <c r="Z115" s="227">
        <f>IFERROR(_xlfn.XLOOKUP($A115,'Raw Data'!$A:$A,'Raw Data'!BK:BK),"")</f>
        <v>924.80000000000473</v>
      </c>
      <c r="AA115" s="227">
        <f>IFERROR(_xlfn.XLOOKUP($A115,'Raw Data'!$A:$A,'Raw Data'!BL:BL),"")</f>
        <v>121110.09999999874</v>
      </c>
      <c r="AB115" s="227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27">
        <f>IFERROR(_xlfn.XLOOKUP($D115,'Modelling New'!$D:$D,'Modelling New'!$T:$T)*1000,"")</f>
        <v>77476.763338544362</v>
      </c>
      <c r="AE115" s="234">
        <f>IFERROR(_xlfn.XLOOKUP($D115,'Modelling New'!$D:$D,'Modelling New'!$O:$O),"")</f>
        <v>0.72347043806469047</v>
      </c>
      <c r="AF115" s="234">
        <f>IFERROR(_xlfn.XLOOKUP($D115,'Modelling New'!$D:$D,'Modelling New'!$W:$W),"")</f>
        <v>0.1328307282790816</v>
      </c>
      <c r="AG115" s="234">
        <f>IFERROR(_xlfn.XLOOKUP($D115,'Modelling New'!$D:$D,'Modelling New'!AE:AE),"")</f>
        <v>0.995</v>
      </c>
      <c r="AH115" s="234">
        <v>0.99750000000000005</v>
      </c>
      <c r="AI115" s="6"/>
      <c r="AJ115" s="6"/>
      <c r="AK115" s="6"/>
      <c r="AL115" s="6"/>
      <c r="AM115" s="6"/>
      <c r="AN115" s="231"/>
      <c r="AO115" s="234"/>
      <c r="AP115" s="234"/>
      <c r="AQ115" s="234"/>
      <c r="AR115" s="227">
        <f>IFERROR(_xlfn.XLOOKUP($D115,'Modelling New'!$D:$D,'Modelling New'!$N:$N),"")</f>
        <v>24.303100000000001</v>
      </c>
      <c r="AS115" s="227"/>
    </row>
    <row r="116" spans="1:45" x14ac:dyDescent="0.35">
      <c r="A116" s="226">
        <f t="shared" si="9"/>
        <v>45859</v>
      </c>
      <c r="B116" s="227">
        <f>YEAR(Daily_KPI[[#This Row],[Date]])+IF(MONTH(Daily_KPI[[#This Row],[Date]])&gt;=4,1,0)</f>
        <v>2026</v>
      </c>
      <c r="C116" s="6">
        <f>YEAR(Daily_KPI[[#This Row],[Date]])</f>
        <v>2025</v>
      </c>
      <c r="D116" s="228">
        <f>Daily_KPI[[#This Row],[Date]]-DAY(Daily_KPI[[#This Row],[Date]])+1</f>
        <v>45839</v>
      </c>
      <c r="E116" s="6">
        <f t="shared" si="7"/>
        <v>31</v>
      </c>
      <c r="F116" s="229">
        <f>IFERROR(_xlfn.XLOOKUP($A116,'Raw Data'!$A:$A,'Raw Data'!$BR:$BR),"")</f>
        <v>12.316666666666668</v>
      </c>
      <c r="G116" s="230">
        <f>IFERROR(_xlfn.XLOOKUP($A116,'Raw Data'!$A:$A,'Raw Data'!$AO:$AO),"")</f>
        <v>0</v>
      </c>
      <c r="H116" s="230"/>
      <c r="I116" s="230">
        <f>IFERROR(_xlfn.XLOOKUP($A116,'Raw Data'!$A:$A,'Raw Data'!$AR:$AR),"")</f>
        <v>6.2402144563426685</v>
      </c>
      <c r="J116" s="230"/>
      <c r="K116" s="230">
        <f>IFERROR(_xlfn.XLOOKUP($A116,'Raw Data'!$A:$A,'Raw Data'!$AV:$AV),"")</f>
        <v>0</v>
      </c>
      <c r="L116" s="230">
        <f>IFERROR(_xlfn.XLOOKUP($A116,'Raw Data'!$A:$A,'Raw Data'!$AW:$AW),"")</f>
        <v>0</v>
      </c>
      <c r="M116" s="230">
        <f>IFERROR(_xlfn.XLOOKUP($A116,'Raw Data'!$A:$A,'Raw Data'!$AX:$AX),"")</f>
        <v>0</v>
      </c>
      <c r="N116" s="230">
        <f>IFERROR(_xlfn.XLOOKUP($A116,'Raw Data'!$A:$A,'Raw Data'!$AY:$AY),"")</f>
        <v>0</v>
      </c>
      <c r="O116" s="231">
        <f>IFERROR(1-(SUMIF('Plant BD'!$B:$B,A116,'Plant BD'!$AE:$AE)/(AA116+SUMIF('Plant BD'!$B:$B,A116,'Plant BD'!$AE:$AE))),"")</f>
        <v>0.9914577273436691</v>
      </c>
      <c r="P116" s="231"/>
      <c r="Q116" s="232"/>
      <c r="R116" s="231">
        <f>IFERROR(1-(SUMIF('Grid BD'!$B:$B,$A116,'Grid BD'!$AD:$AD)/($AA116+SUMIF('Grid BD'!$B:$B,$A116,'Grid BD'!AD:AD))),"")</f>
        <v>1</v>
      </c>
      <c r="S116" s="6"/>
      <c r="T116" s="232"/>
      <c r="U116" s="233">
        <f t="shared" si="8"/>
        <v>0.79546379806109924</v>
      </c>
      <c r="V116" s="233"/>
      <c r="W116" s="234">
        <f t="shared" si="10"/>
        <v>0.20682769550658819</v>
      </c>
      <c r="X116" s="227">
        <f>IFERROR(_xlfn.XLOOKUP($A116,'Raw Data'!$A:$A,'Raw Data'!$BA:$BA),"")</f>
        <v>122488.7</v>
      </c>
      <c r="Y116" s="227">
        <f>IFERROR(_xlfn.XLOOKUP($A116,'Raw Data'!$A:$A,'Raw Data'!BJ:BJ),"")</f>
        <v>121415.79999998794</v>
      </c>
      <c r="Z116" s="227">
        <f>IFERROR(_xlfn.XLOOKUP($A116,'Raw Data'!$A:$A,'Raw Data'!BK:BK),"")</f>
        <v>778.50000000000819</v>
      </c>
      <c r="AA116" s="227">
        <f>IFERROR(_xlfn.XLOOKUP($A116,'Raw Data'!$A:$A,'Raw Data'!BL:BL),"")</f>
        <v>120637.29999998792</v>
      </c>
      <c r="AB116" s="227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27">
        <f>IFERROR(_xlfn.XLOOKUP($D116,'Modelling New'!$D:$D,'Modelling New'!$T:$T)*1000,"")</f>
        <v>77476.763338544362</v>
      </c>
      <c r="AE116" s="234">
        <f>IFERROR(_xlfn.XLOOKUP($D116,'Modelling New'!$D:$D,'Modelling New'!$O:$O),"")</f>
        <v>0.72347043806469047</v>
      </c>
      <c r="AF116" s="234">
        <f>IFERROR(_xlfn.XLOOKUP($D116,'Modelling New'!$D:$D,'Modelling New'!$W:$W),"")</f>
        <v>0.1328307282790816</v>
      </c>
      <c r="AG116" s="234">
        <f>IFERROR(_xlfn.XLOOKUP($D116,'Modelling New'!$D:$D,'Modelling New'!AE:AE),"")</f>
        <v>0.995</v>
      </c>
      <c r="AH116" s="234">
        <v>0.99750000000000005</v>
      </c>
      <c r="AI116" s="6"/>
      <c r="AJ116" s="6"/>
      <c r="AK116" s="6"/>
      <c r="AL116" s="6"/>
      <c r="AM116" s="6"/>
      <c r="AN116" s="231"/>
      <c r="AO116" s="234"/>
      <c r="AP116" s="234"/>
      <c r="AQ116" s="234"/>
      <c r="AR116" s="227">
        <f>IFERROR(_xlfn.XLOOKUP($D116,'Modelling New'!$D:$D,'Modelling New'!$N:$N),"")</f>
        <v>24.303100000000001</v>
      </c>
      <c r="AS116" s="227"/>
    </row>
    <row r="117" spans="1:45" x14ac:dyDescent="0.35">
      <c r="A117" s="226">
        <f t="shared" si="9"/>
        <v>45860</v>
      </c>
      <c r="B117" s="227">
        <f>YEAR(Daily_KPI[[#This Row],[Date]])+IF(MONTH(Daily_KPI[[#This Row],[Date]])&gt;=4,1,0)</f>
        <v>2026</v>
      </c>
      <c r="C117" s="6">
        <f>YEAR(Daily_KPI[[#This Row],[Date]])</f>
        <v>2025</v>
      </c>
      <c r="D117" s="228">
        <f>Daily_KPI[[#This Row],[Date]]-DAY(Daily_KPI[[#This Row],[Date]])+1</f>
        <v>45839</v>
      </c>
      <c r="E117" s="6">
        <f t="shared" ref="E117:E180" si="11">DAY(EOMONTH(A117,0))</f>
        <v>31</v>
      </c>
      <c r="F117" s="229">
        <f>IFERROR(_xlfn.XLOOKUP($A117,'Raw Data'!$A:$A,'Raw Data'!$BR:$BR),"")</f>
        <v>11.366666666666667</v>
      </c>
      <c r="G117" s="230">
        <f>IFERROR(_xlfn.XLOOKUP($A117,'Raw Data'!$A:$A,'Raw Data'!$AO:$AO),"")</f>
        <v>0</v>
      </c>
      <c r="H117" s="230"/>
      <c r="I117" s="230">
        <f>IFERROR(_xlfn.XLOOKUP($A117,'Raw Data'!$A:$A,'Raw Data'!$AR:$AR),"")</f>
        <v>4.0642175041186155</v>
      </c>
      <c r="J117" s="230"/>
      <c r="K117" s="230">
        <f>IFERROR(_xlfn.XLOOKUP($A117,'Raw Data'!$A:$A,'Raw Data'!$AV:$AV),"")</f>
        <v>0</v>
      </c>
      <c r="L117" s="230">
        <f>IFERROR(_xlfn.XLOOKUP($A117,'Raw Data'!$A:$A,'Raw Data'!$AW:$AW),"")</f>
        <v>0</v>
      </c>
      <c r="M117" s="230">
        <f>IFERROR(_xlfn.XLOOKUP($A117,'Raw Data'!$A:$A,'Raw Data'!$AX:$AX),"")</f>
        <v>0</v>
      </c>
      <c r="N117" s="230">
        <f>IFERROR(_xlfn.XLOOKUP($A117,'Raw Data'!$A:$A,'Raw Data'!$AY:$AY),"")</f>
        <v>0</v>
      </c>
      <c r="O117" s="231">
        <f>IFERROR(1-(SUMIF('Plant BD'!$B:$B,A117,'Plant BD'!$AE:$AE)/(AA117+SUMIF('Plant BD'!$B:$B,A117,'Plant BD'!$AE:$AE))),"")</f>
        <v>0.98265637101747116</v>
      </c>
      <c r="P117" s="231"/>
      <c r="Q117" s="232"/>
      <c r="R117" s="231">
        <f>IFERROR(1-(SUMIF('Grid BD'!$B:$B,$A117,'Grid BD'!$AD:$AD)/($AA117+SUMIF('Grid BD'!$B:$B,$A117,'Grid BD'!AD:AD))),"")</f>
        <v>1</v>
      </c>
      <c r="S117" s="6"/>
      <c r="T117" s="232"/>
      <c r="U117" s="233">
        <f t="shared" si="8"/>
        <v>0.81275785268695599</v>
      </c>
      <c r="V117" s="233"/>
      <c r="W117" s="234">
        <f t="shared" si="10"/>
        <v>0.13763436214584104</v>
      </c>
      <c r="X117" s="227">
        <f>IFERROR(_xlfn.XLOOKUP($A117,'Raw Data'!$A:$A,'Raw Data'!$BA:$BA),"")</f>
        <v>82690.399999999994</v>
      </c>
      <c r="Y117" s="227">
        <f>IFERROR(_xlfn.XLOOKUP($A117,'Raw Data'!$A:$A,'Raw Data'!BJ:BJ),"")</f>
        <v>81222.999999998137</v>
      </c>
      <c r="Z117" s="227">
        <f>IFERROR(_xlfn.XLOOKUP($A117,'Raw Data'!$A:$A,'Raw Data'!BK:BK),"")</f>
        <v>944.39999999997326</v>
      </c>
      <c r="AA117" s="227">
        <f>IFERROR(_xlfn.XLOOKUP($A117,'Raw Data'!$A:$A,'Raw Data'!BL:BL),"")</f>
        <v>80278.599999998158</v>
      </c>
      <c r="AB117" s="227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27">
        <f>IFERROR(_xlfn.XLOOKUP($D117,'Modelling New'!$D:$D,'Modelling New'!$T:$T)*1000,"")</f>
        <v>77476.763338544362</v>
      </c>
      <c r="AE117" s="234">
        <f>IFERROR(_xlfn.XLOOKUP($D117,'Modelling New'!$D:$D,'Modelling New'!$O:$O),"")</f>
        <v>0.72347043806469047</v>
      </c>
      <c r="AF117" s="234">
        <f>IFERROR(_xlfn.XLOOKUP($D117,'Modelling New'!$D:$D,'Modelling New'!$W:$W),"")</f>
        <v>0.1328307282790816</v>
      </c>
      <c r="AG117" s="234">
        <f>IFERROR(_xlfn.XLOOKUP($D117,'Modelling New'!$D:$D,'Modelling New'!AE:AE),"")</f>
        <v>0.995</v>
      </c>
      <c r="AH117" s="234">
        <v>0.99750000000000005</v>
      </c>
      <c r="AI117" s="6"/>
      <c r="AJ117" s="6"/>
      <c r="AK117" s="6"/>
      <c r="AL117" s="6"/>
      <c r="AM117" s="6"/>
      <c r="AN117" s="231"/>
      <c r="AO117" s="234"/>
      <c r="AP117" s="234"/>
      <c r="AQ117" s="234"/>
      <c r="AR117" s="227">
        <f>IFERROR(_xlfn.XLOOKUP($D117,'Modelling New'!$D:$D,'Modelling New'!$N:$N),"")</f>
        <v>24.303100000000001</v>
      </c>
      <c r="AS117" s="227"/>
    </row>
    <row r="118" spans="1:45" x14ac:dyDescent="0.35">
      <c r="A118" s="226">
        <f t="shared" si="9"/>
        <v>45861</v>
      </c>
      <c r="B118" s="227">
        <f>YEAR(Daily_KPI[[#This Row],[Date]])+IF(MONTH(Daily_KPI[[#This Row],[Date]])&gt;=4,1,0)</f>
        <v>2026</v>
      </c>
      <c r="C118" s="6">
        <f>YEAR(Daily_KPI[[#This Row],[Date]])</f>
        <v>2025</v>
      </c>
      <c r="D118" s="228">
        <f>Daily_KPI[[#This Row],[Date]]-DAY(Daily_KPI[[#This Row],[Date]])+1</f>
        <v>45839</v>
      </c>
      <c r="E118" s="6">
        <f t="shared" si="11"/>
        <v>31</v>
      </c>
      <c r="F118" s="229">
        <f>IFERROR(_xlfn.XLOOKUP($A118,'Raw Data'!$A:$A,'Raw Data'!$BR:$BR),"")</f>
        <v>11.166666666666668</v>
      </c>
      <c r="G118" s="230">
        <f>IFERROR(_xlfn.XLOOKUP($A118,'Raw Data'!$A:$A,'Raw Data'!$AO:$AO),"")</f>
        <v>0</v>
      </c>
      <c r="H118" s="230"/>
      <c r="I118" s="230">
        <f>IFERROR(_xlfn.XLOOKUP($A118,'Raw Data'!$A:$A,'Raw Data'!$AR:$AR),"")</f>
        <v>2.5832114085667213</v>
      </c>
      <c r="J118" s="230"/>
      <c r="K118" s="230">
        <f>IFERROR(_xlfn.XLOOKUP($A118,'Raw Data'!$A:$A,'Raw Data'!$AV:$AV),"")</f>
        <v>0</v>
      </c>
      <c r="L118" s="230">
        <f>IFERROR(_xlfn.XLOOKUP($A118,'Raw Data'!$A:$A,'Raw Data'!$AW:$AW),"")</f>
        <v>0</v>
      </c>
      <c r="M118" s="230">
        <f>IFERROR(_xlfn.XLOOKUP($A118,'Raw Data'!$A:$A,'Raw Data'!$AX:$AX),"")</f>
        <v>0</v>
      </c>
      <c r="N118" s="230">
        <f>IFERROR(_xlfn.XLOOKUP($A118,'Raw Data'!$A:$A,'Raw Data'!$AY:$AY),"")</f>
        <v>0</v>
      </c>
      <c r="O118" s="231">
        <f>IFERROR(1-(SUMIF('Plant BD'!$B:$B,A118,'Plant BD'!$AE:$AE)/(AA118+SUMIF('Plant BD'!$B:$B,A118,'Plant BD'!$AE:$AE))),"")</f>
        <v>1</v>
      </c>
      <c r="P118" s="231"/>
      <c r="Q118" s="232"/>
      <c r="R118" s="231">
        <f>IFERROR(1-(SUMIF('Grid BD'!$B:$B,$A118,'Grid BD'!$AD:$AD)/($AA118+SUMIF('Grid BD'!$B:$B,$A118,'Grid BD'!AD:AD))),"")</f>
        <v>1</v>
      </c>
      <c r="S118" s="6"/>
      <c r="T118" s="232"/>
      <c r="U118" s="233">
        <f t="shared" si="8"/>
        <v>0.88863109029181619</v>
      </c>
      <c r="V118" s="233"/>
      <c r="W118" s="234">
        <f t="shared" si="10"/>
        <v>9.5646748768704326E-2</v>
      </c>
      <c r="X118" s="227">
        <f>IFERROR(_xlfn.XLOOKUP($A118,'Raw Data'!$A:$A,'Raw Data'!$BA:$BA),"")</f>
        <v>56316.600000000006</v>
      </c>
      <c r="Y118" s="227">
        <f>IFERROR(_xlfn.XLOOKUP($A118,'Raw Data'!$A:$A,'Raw Data'!BJ:BJ),"")</f>
        <v>56800.600000016857</v>
      </c>
      <c r="Z118" s="227">
        <f>IFERROR(_xlfn.XLOOKUP($A118,'Raw Data'!$A:$A,'Raw Data'!BK:BK),"")</f>
        <v>1012.3000000000957</v>
      </c>
      <c r="AA118" s="227">
        <f>IFERROR(_xlfn.XLOOKUP($A118,'Raw Data'!$A:$A,'Raw Data'!BL:BL),"")</f>
        <v>55788.300000016759</v>
      </c>
      <c r="AB118" s="227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27">
        <f>IFERROR(_xlfn.XLOOKUP($D118,'Modelling New'!$D:$D,'Modelling New'!$T:$T)*1000,"")</f>
        <v>77476.763338544362</v>
      </c>
      <c r="AE118" s="234">
        <f>IFERROR(_xlfn.XLOOKUP($D118,'Modelling New'!$D:$D,'Modelling New'!$O:$O),"")</f>
        <v>0.72347043806469047</v>
      </c>
      <c r="AF118" s="234">
        <f>IFERROR(_xlfn.XLOOKUP($D118,'Modelling New'!$D:$D,'Modelling New'!$W:$W),"")</f>
        <v>0.1328307282790816</v>
      </c>
      <c r="AG118" s="234">
        <f>IFERROR(_xlfn.XLOOKUP($D118,'Modelling New'!$D:$D,'Modelling New'!AE:AE),"")</f>
        <v>0.995</v>
      </c>
      <c r="AH118" s="234">
        <v>0.99750000000000005</v>
      </c>
      <c r="AI118" s="6"/>
      <c r="AJ118" s="6"/>
      <c r="AK118" s="6"/>
      <c r="AL118" s="6"/>
      <c r="AM118" s="6"/>
      <c r="AN118" s="231"/>
      <c r="AO118" s="234"/>
      <c r="AP118" s="234"/>
      <c r="AQ118" s="234"/>
      <c r="AR118" s="227">
        <f>IFERROR(_xlfn.XLOOKUP($D118,'Modelling New'!$D:$D,'Modelling New'!$N:$N),"")</f>
        <v>24.303100000000001</v>
      </c>
      <c r="AS118" s="227"/>
    </row>
    <row r="119" spans="1:45" x14ac:dyDescent="0.35">
      <c r="A119" s="226">
        <f t="shared" si="9"/>
        <v>45862</v>
      </c>
      <c r="B119" s="227">
        <f>YEAR(Daily_KPI[[#This Row],[Date]])+IF(MONTH(Daily_KPI[[#This Row],[Date]])&gt;=4,1,0)</f>
        <v>2026</v>
      </c>
      <c r="C119" s="6">
        <f>YEAR(Daily_KPI[[#This Row],[Date]])</f>
        <v>2025</v>
      </c>
      <c r="D119" s="228">
        <f>Daily_KPI[[#This Row],[Date]]-DAY(Daily_KPI[[#This Row],[Date]])+1</f>
        <v>45839</v>
      </c>
      <c r="E119" s="6">
        <f t="shared" si="11"/>
        <v>31</v>
      </c>
      <c r="F119" s="229">
        <f>IFERROR(_xlfn.XLOOKUP($A119,'Raw Data'!$A:$A,'Raw Data'!$BR:$BR),"")</f>
        <v>11.283333333333335</v>
      </c>
      <c r="G119" s="230">
        <f>IFERROR(_xlfn.XLOOKUP($A119,'Raw Data'!$A:$A,'Raw Data'!$AO:$AO),"")</f>
        <v>0</v>
      </c>
      <c r="H119" s="230"/>
      <c r="I119" s="230">
        <f>IFERROR(_xlfn.XLOOKUP($A119,'Raw Data'!$A:$A,'Raw Data'!$AR:$AR),"")</f>
        <v>3.3011034184514001</v>
      </c>
      <c r="J119" s="230"/>
      <c r="K119" s="230">
        <f>IFERROR(_xlfn.XLOOKUP($A119,'Raw Data'!$A:$A,'Raw Data'!$AV:$AV),"")</f>
        <v>0</v>
      </c>
      <c r="L119" s="230">
        <f>IFERROR(_xlfn.XLOOKUP($A119,'Raw Data'!$A:$A,'Raw Data'!$AW:$AW),"")</f>
        <v>0</v>
      </c>
      <c r="M119" s="230">
        <f>IFERROR(_xlfn.XLOOKUP($A119,'Raw Data'!$A:$A,'Raw Data'!$AX:$AX),"")</f>
        <v>0</v>
      </c>
      <c r="N119" s="230">
        <f>IFERROR(_xlfn.XLOOKUP($A119,'Raw Data'!$A:$A,'Raw Data'!$AY:$AY),"")</f>
        <v>0</v>
      </c>
      <c r="O119" s="231">
        <f>IFERROR(1-(SUMIF('Plant BD'!$B:$B,A119,'Plant BD'!$AE:$AE)/(AA119+SUMIF('Plant BD'!$B:$B,A119,'Plant BD'!$AE:$AE))),"")</f>
        <v>1</v>
      </c>
      <c r="P119" s="231"/>
      <c r="Q119" s="232"/>
      <c r="R119" s="231">
        <f>IFERROR(1-(SUMIF('Grid BD'!$B:$B,$A119,'Grid BD'!$AD:$AD)/($AA119+SUMIF('Grid BD'!$B:$B,$A119,'Grid BD'!AD:AD))),"")</f>
        <v>1</v>
      </c>
      <c r="S119" s="6"/>
      <c r="T119" s="232"/>
      <c r="U119" s="233">
        <f t="shared" si="8"/>
        <v>0.833444616575577</v>
      </c>
      <c r="V119" s="233"/>
      <c r="W119" s="234">
        <f t="shared" si="10"/>
        <v>0.11463695303614807</v>
      </c>
      <c r="X119" s="227">
        <f>IFERROR(_xlfn.XLOOKUP($A119,'Raw Data'!$A:$A,'Raw Data'!$BA:$BA),"")</f>
        <v>67758.899999999994</v>
      </c>
      <c r="Y119" s="227">
        <f>IFERROR(_xlfn.XLOOKUP($A119,'Raw Data'!$A:$A,'Raw Data'!BJ:BJ),"")</f>
        <v>68070.199999987381</v>
      </c>
      <c r="Z119" s="227">
        <f>IFERROR(_xlfn.XLOOKUP($A119,'Raw Data'!$A:$A,'Raw Data'!BK:BK),"")</f>
        <v>1205.3999999999405</v>
      </c>
      <c r="AA119" s="227">
        <f>IFERROR(_xlfn.XLOOKUP($A119,'Raw Data'!$A:$A,'Raw Data'!BL:BL),"")</f>
        <v>66864.799999987445</v>
      </c>
      <c r="AB119" s="227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27">
        <f>IFERROR(_xlfn.XLOOKUP($D119,'Modelling New'!$D:$D,'Modelling New'!$T:$T)*1000,"")</f>
        <v>77476.763338544362</v>
      </c>
      <c r="AE119" s="234">
        <f>IFERROR(_xlfn.XLOOKUP($D119,'Modelling New'!$D:$D,'Modelling New'!$O:$O),"")</f>
        <v>0.72347043806469047</v>
      </c>
      <c r="AF119" s="234">
        <f>IFERROR(_xlfn.XLOOKUP($D119,'Modelling New'!$D:$D,'Modelling New'!$W:$W),"")</f>
        <v>0.1328307282790816</v>
      </c>
      <c r="AG119" s="234">
        <f>IFERROR(_xlfn.XLOOKUP($D119,'Modelling New'!$D:$D,'Modelling New'!AE:AE),"")</f>
        <v>0.995</v>
      </c>
      <c r="AH119" s="234">
        <v>0.99750000000000005</v>
      </c>
      <c r="AI119" s="6"/>
      <c r="AJ119" s="6"/>
      <c r="AK119" s="6"/>
      <c r="AL119" s="6"/>
      <c r="AM119" s="6"/>
      <c r="AN119" s="231"/>
      <c r="AO119" s="234"/>
      <c r="AP119" s="234"/>
      <c r="AQ119" s="234"/>
      <c r="AR119" s="227">
        <f>IFERROR(_xlfn.XLOOKUP($D119,'Modelling New'!$D:$D,'Modelling New'!$N:$N),"")</f>
        <v>24.303100000000001</v>
      </c>
      <c r="AS119" s="227"/>
    </row>
    <row r="120" spans="1:45" x14ac:dyDescent="0.35">
      <c r="A120" s="226">
        <f t="shared" si="9"/>
        <v>45863</v>
      </c>
      <c r="B120" s="227">
        <f>YEAR(Daily_KPI[[#This Row],[Date]])+IF(MONTH(Daily_KPI[[#This Row],[Date]])&gt;=4,1,0)</f>
        <v>2026</v>
      </c>
      <c r="C120" s="6">
        <f>YEAR(Daily_KPI[[#This Row],[Date]])</f>
        <v>2025</v>
      </c>
      <c r="D120" s="228">
        <f>Daily_KPI[[#This Row],[Date]]-DAY(Daily_KPI[[#This Row],[Date]])+1</f>
        <v>45839</v>
      </c>
      <c r="E120" s="6">
        <f t="shared" si="11"/>
        <v>31</v>
      </c>
      <c r="F120" s="229">
        <f>IFERROR(_xlfn.XLOOKUP($A120,'Raw Data'!$A:$A,'Raw Data'!$BR:$BR),"")</f>
        <v>11.583333333333332</v>
      </c>
      <c r="G120" s="230">
        <f>IFERROR(_xlfn.XLOOKUP($A120,'Raw Data'!$A:$A,'Raw Data'!$AO:$AO),"")</f>
        <v>0</v>
      </c>
      <c r="H120" s="230"/>
      <c r="I120" s="230">
        <f>IFERROR(_xlfn.XLOOKUP($A120,'Raw Data'!$A:$A,'Raw Data'!$AR:$AR),"")</f>
        <v>1.6704121499176277</v>
      </c>
      <c r="J120" s="230"/>
      <c r="K120" s="230">
        <f>IFERROR(_xlfn.XLOOKUP($A120,'Raw Data'!$A:$A,'Raw Data'!$AV:$AV),"")</f>
        <v>0</v>
      </c>
      <c r="L120" s="230">
        <f>IFERROR(_xlfn.XLOOKUP($A120,'Raw Data'!$A:$A,'Raw Data'!$AW:$AW),"")</f>
        <v>0</v>
      </c>
      <c r="M120" s="230">
        <f>IFERROR(_xlfn.XLOOKUP($A120,'Raw Data'!$A:$A,'Raw Data'!$AX:$AX),"")</f>
        <v>0</v>
      </c>
      <c r="N120" s="230">
        <f>IFERROR(_xlfn.XLOOKUP($A120,'Raw Data'!$A:$A,'Raw Data'!$AY:$AY),"")</f>
        <v>0</v>
      </c>
      <c r="O120" s="231">
        <f>IFERROR(1-(SUMIF('Plant BD'!$B:$B,A120,'Plant BD'!$AE:$AE)/(AA120+SUMIF('Plant BD'!$B:$B,A120,'Plant BD'!$AE:$AE))),"")</f>
        <v>1</v>
      </c>
      <c r="P120" s="231"/>
      <c r="Q120" s="232"/>
      <c r="R120" s="231">
        <f>IFERROR(1-(SUMIF('Grid BD'!$B:$B,$A120,'Grid BD'!$AD:$AD)/($AA120+SUMIF('Grid BD'!$B:$B,$A120,'Grid BD'!AD:AD))),"")</f>
        <v>1</v>
      </c>
      <c r="S120" s="6"/>
      <c r="T120" s="232"/>
      <c r="U120" s="233">
        <f t="shared" si="8"/>
        <v>0.84449789565995093</v>
      </c>
      <c r="V120" s="233"/>
      <c r="W120" s="234">
        <f t="shared" si="10"/>
        <v>5.8777481062093788E-2</v>
      </c>
      <c r="X120" s="227">
        <f>IFERROR(_xlfn.XLOOKUP($A120,'Raw Data'!$A:$A,'Raw Data'!$BA:$BA),"")</f>
        <v>34036.800000000003</v>
      </c>
      <c r="Y120" s="227">
        <f>IFERROR(_xlfn.XLOOKUP($A120,'Raw Data'!$A:$A,'Raw Data'!BJ:BJ),"")</f>
        <v>34688.200000004144</v>
      </c>
      <c r="Z120" s="227">
        <f>IFERROR(_xlfn.XLOOKUP($A120,'Raw Data'!$A:$A,'Raw Data'!BK:BK),"")</f>
        <v>404.80000000002292</v>
      </c>
      <c r="AA120" s="227">
        <f>IFERROR(_xlfn.XLOOKUP($A120,'Raw Data'!$A:$A,'Raw Data'!BL:BL),"")</f>
        <v>34283.40000000412</v>
      </c>
      <c r="AB120" s="227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27">
        <f>IFERROR(_xlfn.XLOOKUP($D120,'Modelling New'!$D:$D,'Modelling New'!$T:$T)*1000,"")</f>
        <v>77476.763338544362</v>
      </c>
      <c r="AE120" s="234">
        <f>IFERROR(_xlfn.XLOOKUP($D120,'Modelling New'!$D:$D,'Modelling New'!$O:$O),"")</f>
        <v>0.72347043806469047</v>
      </c>
      <c r="AF120" s="234">
        <f>IFERROR(_xlfn.XLOOKUP($D120,'Modelling New'!$D:$D,'Modelling New'!$W:$W),"")</f>
        <v>0.1328307282790816</v>
      </c>
      <c r="AG120" s="234">
        <f>IFERROR(_xlfn.XLOOKUP($D120,'Modelling New'!$D:$D,'Modelling New'!AE:AE),"")</f>
        <v>0.995</v>
      </c>
      <c r="AH120" s="234">
        <v>0.99750000000000005</v>
      </c>
      <c r="AI120" s="6"/>
      <c r="AJ120" s="6"/>
      <c r="AK120" s="6"/>
      <c r="AL120" s="6"/>
      <c r="AM120" s="6"/>
      <c r="AN120" s="231"/>
      <c r="AO120" s="234"/>
      <c r="AP120" s="234"/>
      <c r="AQ120" s="234"/>
      <c r="AR120" s="227">
        <f>IFERROR(_xlfn.XLOOKUP($D120,'Modelling New'!$D:$D,'Modelling New'!$N:$N),"")</f>
        <v>24.303100000000001</v>
      </c>
      <c r="AS120" s="227"/>
    </row>
    <row r="121" spans="1:45" x14ac:dyDescent="0.35">
      <c r="A121" s="226">
        <f t="shared" si="9"/>
        <v>45864</v>
      </c>
      <c r="B121" s="227">
        <f>YEAR(Daily_KPI[[#This Row],[Date]])+IF(MONTH(Daily_KPI[[#This Row],[Date]])&gt;=4,1,0)</f>
        <v>2026</v>
      </c>
      <c r="C121" s="6">
        <f>YEAR(Daily_KPI[[#This Row],[Date]])</f>
        <v>2025</v>
      </c>
      <c r="D121" s="228">
        <f>Daily_KPI[[#This Row],[Date]]-DAY(Daily_KPI[[#This Row],[Date]])+1</f>
        <v>45839</v>
      </c>
      <c r="E121" s="6">
        <f t="shared" si="11"/>
        <v>31</v>
      </c>
      <c r="F121" s="229">
        <f>IFERROR(_xlfn.XLOOKUP($A121,'Raw Data'!$A:$A,'Raw Data'!$BR:$BR),"")</f>
        <v>11.483333333333334</v>
      </c>
      <c r="G121" s="230">
        <f>IFERROR(_xlfn.XLOOKUP($A121,'Raw Data'!$A:$A,'Raw Data'!$AO:$AO),"")</f>
        <v>0</v>
      </c>
      <c r="H121" s="230"/>
      <c r="I121" s="230">
        <f>IFERROR(_xlfn.XLOOKUP($A121,'Raw Data'!$A:$A,'Raw Data'!$AR:$AR),"")</f>
        <v>1.3850015238879734</v>
      </c>
      <c r="J121" s="230"/>
      <c r="K121" s="230">
        <f>IFERROR(_xlfn.XLOOKUP($A121,'Raw Data'!$A:$A,'Raw Data'!$AV:$AV),"")</f>
        <v>0</v>
      </c>
      <c r="L121" s="230">
        <f>IFERROR(_xlfn.XLOOKUP($A121,'Raw Data'!$A:$A,'Raw Data'!$AW:$AW),"")</f>
        <v>0</v>
      </c>
      <c r="M121" s="230">
        <f>IFERROR(_xlfn.XLOOKUP($A121,'Raw Data'!$A:$A,'Raw Data'!$AX:$AX),"")</f>
        <v>0</v>
      </c>
      <c r="N121" s="230">
        <f>IFERROR(_xlfn.XLOOKUP($A121,'Raw Data'!$A:$A,'Raw Data'!$AY:$AY),"")</f>
        <v>0</v>
      </c>
      <c r="O121" s="231">
        <f>IFERROR(1-(SUMIF('Plant BD'!$B:$B,A121,'Plant BD'!$AE:$AE)/(AA121+SUMIF('Plant BD'!$B:$B,A121,'Plant BD'!$AE:$AE))),"")</f>
        <v>0.88826582871060145</v>
      </c>
      <c r="P121" s="231"/>
      <c r="Q121" s="232"/>
      <c r="R121" s="231">
        <f>IFERROR(1-(SUMIF('Grid BD'!$B:$B,$A121,'Grid BD'!$AD:$AD)/($AA121+SUMIF('Grid BD'!$B:$B,$A121,'Grid BD'!AD:AD))),"")</f>
        <v>1</v>
      </c>
      <c r="S121" s="6"/>
      <c r="T121" s="232"/>
      <c r="U121" s="233">
        <f t="shared" si="8"/>
        <v>0.79597845782317134</v>
      </c>
      <c r="V121" s="233"/>
      <c r="W121" s="234">
        <f t="shared" si="10"/>
        <v>4.5934640711128794E-2</v>
      </c>
      <c r="X121" s="227">
        <f>IFERROR(_xlfn.XLOOKUP($A121,'Raw Data'!$A:$A,'Raw Data'!$BA:$BA),"")</f>
        <v>26458.1</v>
      </c>
      <c r="Y121" s="227">
        <f>IFERROR(_xlfn.XLOOKUP($A121,'Raw Data'!$A:$A,'Raw Data'!BJ:BJ),"")</f>
        <v>27135.399999999208</v>
      </c>
      <c r="Z121" s="227">
        <f>IFERROR(_xlfn.XLOOKUP($A121,'Raw Data'!$A:$A,'Raw Data'!BK:BK),"")</f>
        <v>342.89999999998599</v>
      </c>
      <c r="AA121" s="227">
        <f>IFERROR(_xlfn.XLOOKUP($A121,'Raw Data'!$A:$A,'Raw Data'!BL:BL),"")</f>
        <v>26792.499999999221</v>
      </c>
      <c r="AB121" s="227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27">
        <f>IFERROR(_xlfn.XLOOKUP($D121,'Modelling New'!$D:$D,'Modelling New'!$T:$T)*1000,"")</f>
        <v>77476.763338544362</v>
      </c>
      <c r="AE121" s="234">
        <f>IFERROR(_xlfn.XLOOKUP($D121,'Modelling New'!$D:$D,'Modelling New'!$O:$O),"")</f>
        <v>0.72347043806469047</v>
      </c>
      <c r="AF121" s="234">
        <f>IFERROR(_xlfn.XLOOKUP($D121,'Modelling New'!$D:$D,'Modelling New'!$W:$W),"")</f>
        <v>0.1328307282790816</v>
      </c>
      <c r="AG121" s="234">
        <f>IFERROR(_xlfn.XLOOKUP($D121,'Modelling New'!$D:$D,'Modelling New'!AE:AE),"")</f>
        <v>0.995</v>
      </c>
      <c r="AH121" s="234">
        <v>0.99750000000000005</v>
      </c>
      <c r="AI121" s="6"/>
      <c r="AJ121" s="6"/>
      <c r="AK121" s="6"/>
      <c r="AL121" s="6"/>
      <c r="AM121" s="6"/>
      <c r="AN121" s="231"/>
      <c r="AO121" s="234"/>
      <c r="AP121" s="234"/>
      <c r="AQ121" s="234"/>
      <c r="AR121" s="227">
        <f>IFERROR(_xlfn.XLOOKUP($D121,'Modelling New'!$D:$D,'Modelling New'!$N:$N),"")</f>
        <v>24.303100000000001</v>
      </c>
      <c r="AS121" s="227"/>
    </row>
    <row r="122" spans="1:45" x14ac:dyDescent="0.35">
      <c r="A122" s="226">
        <f t="shared" si="9"/>
        <v>45865</v>
      </c>
      <c r="B122" s="227">
        <f>YEAR(Daily_KPI[[#This Row],[Date]])+IF(MONTH(Daily_KPI[[#This Row],[Date]])&gt;=4,1,0)</f>
        <v>2026</v>
      </c>
      <c r="C122" s="6">
        <f>YEAR(Daily_KPI[[#This Row],[Date]])</f>
        <v>2025</v>
      </c>
      <c r="D122" s="228">
        <f>Daily_KPI[[#This Row],[Date]]-DAY(Daily_KPI[[#This Row],[Date]])+1</f>
        <v>45839</v>
      </c>
      <c r="E122" s="6">
        <f t="shared" si="11"/>
        <v>31</v>
      </c>
      <c r="F122" s="229">
        <f>IFERROR(_xlfn.XLOOKUP($A122,'Raw Data'!$A:$A,'Raw Data'!$BR:$BR),"")</f>
        <v>12.1</v>
      </c>
      <c r="G122" s="230">
        <f>IFERROR(_xlfn.XLOOKUP($A122,'Raw Data'!$A:$A,'Raw Data'!$AO:$AO),"")</f>
        <v>0</v>
      </c>
      <c r="H122" s="230"/>
      <c r="I122" s="230">
        <f>IFERROR(_xlfn.XLOOKUP($A122,'Raw Data'!$A:$A,'Raw Data'!$AR:$AR),"")</f>
        <v>3.1724106260296541</v>
      </c>
      <c r="J122" s="230"/>
      <c r="K122" s="230">
        <f>IFERROR(_xlfn.XLOOKUP($A122,'Raw Data'!$A:$A,'Raw Data'!$AV:$AV),"")</f>
        <v>0</v>
      </c>
      <c r="L122" s="230">
        <f>IFERROR(_xlfn.XLOOKUP($A122,'Raw Data'!$A:$A,'Raw Data'!$AW:$AW),"")</f>
        <v>0</v>
      </c>
      <c r="M122" s="230">
        <f>IFERROR(_xlfn.XLOOKUP($A122,'Raw Data'!$A:$A,'Raw Data'!$AX:$AX),"")</f>
        <v>0</v>
      </c>
      <c r="N122" s="230">
        <f>IFERROR(_xlfn.XLOOKUP($A122,'Raw Data'!$A:$A,'Raw Data'!$AY:$AY),"")</f>
        <v>0</v>
      </c>
      <c r="O122" s="231">
        <f>IFERROR(1-(SUMIF('Plant BD'!$B:$B,A122,'Plant BD'!$AE:$AE)/(AA122+SUMIF('Plant BD'!$B:$B,A122,'Plant BD'!$AE:$AE))),"")</f>
        <v>0.89502948510411062</v>
      </c>
      <c r="P122" s="231"/>
      <c r="Q122" s="232"/>
      <c r="R122" s="231">
        <f>IFERROR(1-(SUMIF('Grid BD'!$B:$B,$A122,'Grid BD'!$AD:$AD)/($AA122+SUMIF('Grid BD'!$B:$B,$A122,'Grid BD'!AD:AD))),"")</f>
        <v>1</v>
      </c>
      <c r="S122" s="6"/>
      <c r="T122" s="232"/>
      <c r="U122" s="233">
        <f t="shared" si="8"/>
        <v>0.72006903900142205</v>
      </c>
      <c r="V122" s="233"/>
      <c r="W122" s="234">
        <f t="shared" si="10"/>
        <v>9.5181444616794703E-2</v>
      </c>
      <c r="X122" s="227">
        <f>IFERROR(_xlfn.XLOOKUP($A122,'Raw Data'!$A:$A,'Raw Data'!$BA:$BA),"")</f>
        <v>55632.700000000004</v>
      </c>
      <c r="Y122" s="227">
        <f>IFERROR(_xlfn.XLOOKUP($A122,'Raw Data'!$A:$A,'Raw Data'!BJ:BJ),"")</f>
        <v>56308.699999994133</v>
      </c>
      <c r="Z122" s="227">
        <f>IFERROR(_xlfn.XLOOKUP($A122,'Raw Data'!$A:$A,'Raw Data'!BK:BK),"")</f>
        <v>791.79999999996653</v>
      </c>
      <c r="AA122" s="227">
        <f>IFERROR(_xlfn.XLOOKUP($A122,'Raw Data'!$A:$A,'Raw Data'!BL:BL),"")</f>
        <v>55516.899999994166</v>
      </c>
      <c r="AB122" s="227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27">
        <f>IFERROR(_xlfn.XLOOKUP($D122,'Modelling New'!$D:$D,'Modelling New'!$T:$T)*1000,"")</f>
        <v>77476.763338544362</v>
      </c>
      <c r="AE122" s="234">
        <f>IFERROR(_xlfn.XLOOKUP($D122,'Modelling New'!$D:$D,'Modelling New'!$O:$O),"")</f>
        <v>0.72347043806469047</v>
      </c>
      <c r="AF122" s="234">
        <f>IFERROR(_xlfn.XLOOKUP($D122,'Modelling New'!$D:$D,'Modelling New'!$W:$W),"")</f>
        <v>0.1328307282790816</v>
      </c>
      <c r="AG122" s="234">
        <f>IFERROR(_xlfn.XLOOKUP($D122,'Modelling New'!$D:$D,'Modelling New'!AE:AE),"")</f>
        <v>0.995</v>
      </c>
      <c r="AH122" s="234">
        <v>0.99750000000000005</v>
      </c>
      <c r="AI122" s="6"/>
      <c r="AJ122" s="6"/>
      <c r="AK122" s="6"/>
      <c r="AL122" s="6"/>
      <c r="AM122" s="6"/>
      <c r="AN122" s="231"/>
      <c r="AO122" s="234"/>
      <c r="AP122" s="234"/>
      <c r="AQ122" s="234"/>
      <c r="AR122" s="227">
        <f>IFERROR(_xlfn.XLOOKUP($D122,'Modelling New'!$D:$D,'Modelling New'!$N:$N),"")</f>
        <v>24.303100000000001</v>
      </c>
      <c r="AS122" s="227"/>
    </row>
    <row r="123" spans="1:45" x14ac:dyDescent="0.35">
      <c r="A123" s="226">
        <f t="shared" si="9"/>
        <v>45866</v>
      </c>
      <c r="B123" s="227">
        <f>YEAR(Daily_KPI[[#This Row],[Date]])+IF(MONTH(Daily_KPI[[#This Row],[Date]])&gt;=4,1,0)</f>
        <v>2026</v>
      </c>
      <c r="C123" s="6">
        <f>YEAR(Daily_KPI[[#This Row],[Date]])</f>
        <v>2025</v>
      </c>
      <c r="D123" s="228">
        <f>Daily_KPI[[#This Row],[Date]]-DAY(Daily_KPI[[#This Row],[Date]])+1</f>
        <v>45839</v>
      </c>
      <c r="E123" s="6">
        <f t="shared" si="11"/>
        <v>31</v>
      </c>
      <c r="F123" s="229">
        <f>IFERROR(_xlfn.XLOOKUP($A123,'Raw Data'!$A:$A,'Raw Data'!$BR:$BR),"")</f>
        <v>12.1</v>
      </c>
      <c r="G123" s="230">
        <f>IFERROR(_xlfn.XLOOKUP($A123,'Raw Data'!$A:$A,'Raw Data'!$AO:$AO),"")</f>
        <v>0</v>
      </c>
      <c r="H123" s="230"/>
      <c r="I123" s="230">
        <f>IFERROR(_xlfn.XLOOKUP($A123,'Raw Data'!$A:$A,'Raw Data'!$AR:$AR),"")</f>
        <v>4.4624563426688626</v>
      </c>
      <c r="J123" s="230"/>
      <c r="K123" s="230">
        <f>IFERROR(_xlfn.XLOOKUP($A123,'Raw Data'!$A:$A,'Raw Data'!$AV:$AV),"")</f>
        <v>0</v>
      </c>
      <c r="L123" s="230">
        <f>IFERROR(_xlfn.XLOOKUP($A123,'Raw Data'!$A:$A,'Raw Data'!$AW:$AW),"")</f>
        <v>0</v>
      </c>
      <c r="M123" s="230">
        <f>IFERROR(_xlfn.XLOOKUP($A123,'Raw Data'!$A:$A,'Raw Data'!$AX:$AX),"")</f>
        <v>0</v>
      </c>
      <c r="N123" s="230">
        <f>IFERROR(_xlfn.XLOOKUP($A123,'Raw Data'!$A:$A,'Raw Data'!$AY:$AY),"")</f>
        <v>0</v>
      </c>
      <c r="O123" s="231">
        <f>IFERROR(1-(SUMIF('Plant BD'!$B:$B,A123,'Plant BD'!$AE:$AE)/(AA123+SUMIF('Plant BD'!$B:$B,A123,'Plant BD'!$AE:$AE))),"")</f>
        <v>0.95717445840741555</v>
      </c>
      <c r="P123" s="231"/>
      <c r="Q123" s="232"/>
      <c r="R123" s="231">
        <f>IFERROR(1-(SUMIF('Grid BD'!$B:$B,$A123,'Grid BD'!$AD:$AD)/($AA123+SUMIF('Grid BD'!$B:$B,$A123,'Grid BD'!AD:AD))),"")</f>
        <v>1</v>
      </c>
      <c r="S123" s="6"/>
      <c r="T123" s="232"/>
      <c r="U123" s="233">
        <f t="shared" si="8"/>
        <v>0.84840671365501441</v>
      </c>
      <c r="V123" s="233"/>
      <c r="W123" s="234">
        <f t="shared" si="10"/>
        <v>0.15774908002136101</v>
      </c>
      <c r="X123" s="227">
        <f>IFERROR(_xlfn.XLOOKUP($A123,'Raw Data'!$A:$A,'Raw Data'!$BA:$BA),"")</f>
        <v>93128.3</v>
      </c>
      <c r="Y123" s="227">
        <f>IFERROR(_xlfn.XLOOKUP($A123,'Raw Data'!$A:$A,'Raw Data'!BJ:BJ),"")</f>
        <v>92873.400000011316</v>
      </c>
      <c r="Z123" s="227">
        <f>IFERROR(_xlfn.XLOOKUP($A123,'Raw Data'!$A:$A,'Raw Data'!BK:BK),"")</f>
        <v>862.39999999997963</v>
      </c>
      <c r="AA123" s="227">
        <f>IFERROR(_xlfn.XLOOKUP($A123,'Raw Data'!$A:$A,'Raw Data'!BL:BL),"")</f>
        <v>92011.000000011336</v>
      </c>
      <c r="AB123" s="227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27">
        <f>IFERROR(_xlfn.XLOOKUP($D123,'Modelling New'!$D:$D,'Modelling New'!$T:$T)*1000,"")</f>
        <v>77476.763338544362</v>
      </c>
      <c r="AE123" s="234">
        <f>IFERROR(_xlfn.XLOOKUP($D123,'Modelling New'!$D:$D,'Modelling New'!$O:$O),"")</f>
        <v>0.72347043806469047</v>
      </c>
      <c r="AF123" s="234">
        <f>IFERROR(_xlfn.XLOOKUP($D123,'Modelling New'!$D:$D,'Modelling New'!$W:$W),"")</f>
        <v>0.1328307282790816</v>
      </c>
      <c r="AG123" s="234">
        <f>IFERROR(_xlfn.XLOOKUP($D123,'Modelling New'!$D:$D,'Modelling New'!AE:AE),"")</f>
        <v>0.995</v>
      </c>
      <c r="AH123" s="234">
        <v>0.99750000000000005</v>
      </c>
      <c r="AI123" s="6"/>
      <c r="AJ123" s="6"/>
      <c r="AK123" s="6"/>
      <c r="AL123" s="6"/>
      <c r="AM123" s="6"/>
      <c r="AN123" s="231"/>
      <c r="AO123" s="234"/>
      <c r="AP123" s="234"/>
      <c r="AQ123" s="234"/>
      <c r="AR123" s="227">
        <f>IFERROR(_xlfn.XLOOKUP($D123,'Modelling New'!$D:$D,'Modelling New'!$N:$N),"")</f>
        <v>24.303100000000001</v>
      </c>
      <c r="AS123" s="227"/>
    </row>
    <row r="124" spans="1:45" x14ac:dyDescent="0.35">
      <c r="A124" s="226">
        <f t="shared" si="9"/>
        <v>45867</v>
      </c>
      <c r="B124" s="227">
        <f>YEAR(Daily_KPI[[#This Row],[Date]])+IF(MONTH(Daily_KPI[[#This Row],[Date]])&gt;=4,1,0)</f>
        <v>2026</v>
      </c>
      <c r="C124" s="6">
        <f>YEAR(Daily_KPI[[#This Row],[Date]])</f>
        <v>2025</v>
      </c>
      <c r="D124" s="228">
        <f>Daily_KPI[[#This Row],[Date]]-DAY(Daily_KPI[[#This Row],[Date]])+1</f>
        <v>45839</v>
      </c>
      <c r="E124" s="6">
        <f t="shared" si="11"/>
        <v>31</v>
      </c>
      <c r="F124" s="229">
        <f>IFERROR(_xlfn.XLOOKUP($A124,'Raw Data'!$A:$A,'Raw Data'!$BR:$BR),"")</f>
        <v>11.8</v>
      </c>
      <c r="G124" s="230">
        <f>IFERROR(_xlfn.XLOOKUP($A124,'Raw Data'!$A:$A,'Raw Data'!$AO:$AO),"")</f>
        <v>0</v>
      </c>
      <c r="H124" s="230"/>
      <c r="I124" s="230">
        <f>IFERROR(_xlfn.XLOOKUP($A124,'Raw Data'!$A:$A,'Raw Data'!$AR:$AR),"")</f>
        <v>2.7136729818780889</v>
      </c>
      <c r="J124" s="230"/>
      <c r="K124" s="230">
        <f>IFERROR(_xlfn.XLOOKUP($A124,'Raw Data'!$A:$A,'Raw Data'!$AV:$AV),"")</f>
        <v>0</v>
      </c>
      <c r="L124" s="230">
        <f>IFERROR(_xlfn.XLOOKUP($A124,'Raw Data'!$A:$A,'Raw Data'!$AW:$AW),"")</f>
        <v>0</v>
      </c>
      <c r="M124" s="230">
        <f>IFERROR(_xlfn.XLOOKUP($A124,'Raw Data'!$A:$A,'Raw Data'!$AX:$AX),"")</f>
        <v>0</v>
      </c>
      <c r="N124" s="230">
        <f>IFERROR(_xlfn.XLOOKUP($A124,'Raw Data'!$A:$A,'Raw Data'!$AY:$AY),"")</f>
        <v>0</v>
      </c>
      <c r="O124" s="231">
        <f>IFERROR(1-(SUMIF('Plant BD'!$B:$B,A124,'Plant BD'!$AE:$AE)/(AA124+SUMIF('Plant BD'!$B:$B,A124,'Plant BD'!$AE:$AE))),"")</f>
        <v>1</v>
      </c>
      <c r="P124" s="231"/>
      <c r="Q124" s="232"/>
      <c r="R124" s="231">
        <f>IFERROR(1-(SUMIF('Grid BD'!$B:$B,$A124,'Grid BD'!$AD:$AD)/($AA124+SUMIF('Grid BD'!$B:$B,$A124,'Grid BD'!AD:AD))),"")</f>
        <v>1</v>
      </c>
      <c r="S124" s="6"/>
      <c r="T124" s="232"/>
      <c r="U124" s="233">
        <f t="shared" si="8"/>
        <v>0.81767332154020722</v>
      </c>
      <c r="V124" s="233"/>
      <c r="W124" s="234">
        <f t="shared" si="10"/>
        <v>9.2454083361090636E-2</v>
      </c>
      <c r="X124" s="227">
        <f>IFERROR(_xlfn.XLOOKUP($A124,'Raw Data'!$A:$A,'Raw Data'!$BA:$BA),"")</f>
        <v>54546.700000000004</v>
      </c>
      <c r="Y124" s="227">
        <f>IFERROR(_xlfn.XLOOKUP($A124,'Raw Data'!$A:$A,'Raw Data'!BJ:BJ),"")</f>
        <v>55019.399999990128</v>
      </c>
      <c r="Z124" s="227">
        <f>IFERROR(_xlfn.XLOOKUP($A124,'Raw Data'!$A:$A,'Raw Data'!BK:BK),"")</f>
        <v>1093.2999999999993</v>
      </c>
      <c r="AA124" s="227">
        <f>IFERROR(_xlfn.XLOOKUP($A124,'Raw Data'!$A:$A,'Raw Data'!BL:BL),"")</f>
        <v>53926.099999990125</v>
      </c>
      <c r="AB124" s="227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27">
        <f>IFERROR(_xlfn.XLOOKUP($D124,'Modelling New'!$D:$D,'Modelling New'!$T:$T)*1000,"")</f>
        <v>77476.763338544362</v>
      </c>
      <c r="AE124" s="234">
        <f>IFERROR(_xlfn.XLOOKUP($D124,'Modelling New'!$D:$D,'Modelling New'!$O:$O),"")</f>
        <v>0.72347043806469047</v>
      </c>
      <c r="AF124" s="234">
        <f>IFERROR(_xlfn.XLOOKUP($D124,'Modelling New'!$D:$D,'Modelling New'!$W:$W),"")</f>
        <v>0.1328307282790816</v>
      </c>
      <c r="AG124" s="234">
        <f>IFERROR(_xlfn.XLOOKUP($D124,'Modelling New'!$D:$D,'Modelling New'!AE:AE),"")</f>
        <v>0.995</v>
      </c>
      <c r="AH124" s="234">
        <v>0.99750000000000005</v>
      </c>
      <c r="AI124" s="6"/>
      <c r="AJ124" s="6"/>
      <c r="AK124" s="6"/>
      <c r="AL124" s="6"/>
      <c r="AM124" s="6"/>
      <c r="AN124" s="231"/>
      <c r="AO124" s="234"/>
      <c r="AP124" s="234"/>
      <c r="AQ124" s="234"/>
      <c r="AR124" s="227">
        <f>IFERROR(_xlfn.XLOOKUP($D124,'Modelling New'!$D:$D,'Modelling New'!$N:$N),"")</f>
        <v>24.303100000000001</v>
      </c>
      <c r="AS124" s="227"/>
    </row>
    <row r="125" spans="1:45" x14ac:dyDescent="0.35">
      <c r="A125" s="226">
        <f t="shared" si="9"/>
        <v>45868</v>
      </c>
      <c r="B125" s="227">
        <f>YEAR(Daily_KPI[[#This Row],[Date]])+IF(MONTH(Daily_KPI[[#This Row],[Date]])&gt;=4,1,0)</f>
        <v>2026</v>
      </c>
      <c r="C125" s="6">
        <f>YEAR(Daily_KPI[[#This Row],[Date]])</f>
        <v>2025</v>
      </c>
      <c r="D125" s="228">
        <f>Daily_KPI[[#This Row],[Date]]-DAY(Daily_KPI[[#This Row],[Date]])+1</f>
        <v>45839</v>
      </c>
      <c r="E125" s="6">
        <f t="shared" si="11"/>
        <v>31</v>
      </c>
      <c r="F125" s="229">
        <f>IFERROR(_xlfn.XLOOKUP($A125,'Raw Data'!$A:$A,'Raw Data'!$BR:$BR),"")</f>
        <v>11.816666666666666</v>
      </c>
      <c r="G125" s="230">
        <f>IFERROR(_xlfn.XLOOKUP($A125,'Raw Data'!$A:$A,'Raw Data'!$AO:$AO),"")</f>
        <v>0</v>
      </c>
      <c r="H125" s="230"/>
      <c r="I125" s="230">
        <f>IFERROR(_xlfn.XLOOKUP($A125,'Raw Data'!$A:$A,'Raw Data'!$AR:$AR),"")</f>
        <v>2.8834182454695219</v>
      </c>
      <c r="J125" s="230"/>
      <c r="K125" s="230">
        <f>IFERROR(_xlfn.XLOOKUP($A125,'Raw Data'!$A:$A,'Raw Data'!$AV:$AV),"")</f>
        <v>0</v>
      </c>
      <c r="L125" s="230">
        <f>IFERROR(_xlfn.XLOOKUP($A125,'Raw Data'!$A:$A,'Raw Data'!$AW:$AW),"")</f>
        <v>0</v>
      </c>
      <c r="M125" s="230">
        <f>IFERROR(_xlfn.XLOOKUP($A125,'Raw Data'!$A:$A,'Raw Data'!$AX:$AX),"")</f>
        <v>0</v>
      </c>
      <c r="N125" s="230">
        <f>IFERROR(_xlfn.XLOOKUP($A125,'Raw Data'!$A:$A,'Raw Data'!$AY:$AY),"")</f>
        <v>0</v>
      </c>
      <c r="O125" s="231">
        <f>IFERROR(1-(SUMIF('Plant BD'!$B:$B,A125,'Plant BD'!$AE:$AE)/(AA125+SUMIF('Plant BD'!$B:$B,A125,'Plant BD'!$AE:$AE))),"")</f>
        <v>0.98613328047295934</v>
      </c>
      <c r="P125" s="231"/>
      <c r="Q125" s="232"/>
      <c r="R125" s="231">
        <f>IFERROR(1-(SUMIF('Grid BD'!$B:$B,$A125,'Grid BD'!$AD:$AD)/($AA125+SUMIF('Grid BD'!$B:$B,$A125,'Grid BD'!AD:AD))),"")</f>
        <v>1</v>
      </c>
      <c r="S125" s="6"/>
      <c r="T125" s="232"/>
      <c r="U125" s="233">
        <f t="shared" si="8"/>
        <v>0.82113702821747625</v>
      </c>
      <c r="V125" s="233"/>
      <c r="W125" s="234">
        <f t="shared" si="10"/>
        <v>9.8653395383037176E-2</v>
      </c>
      <c r="X125" s="227">
        <f>IFERROR(_xlfn.XLOOKUP($A125,'Raw Data'!$A:$A,'Raw Data'!$BA:$BA),"")</f>
        <v>57830</v>
      </c>
      <c r="Y125" s="227">
        <f>IFERROR(_xlfn.XLOOKUP($A125,'Raw Data'!$A:$A,'Raw Data'!BJ:BJ),"")</f>
        <v>58265.400000003865</v>
      </c>
      <c r="Z125" s="227">
        <f>IFERROR(_xlfn.XLOOKUP($A125,'Raw Data'!$A:$A,'Raw Data'!BK:BK),"")</f>
        <v>723.40000000008331</v>
      </c>
      <c r="AA125" s="227">
        <f>IFERROR(_xlfn.XLOOKUP($A125,'Raw Data'!$A:$A,'Raw Data'!BL:BL),"")</f>
        <v>57542.000000003783</v>
      </c>
      <c r="AB125" s="227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27">
        <f>IFERROR(_xlfn.XLOOKUP($D125,'Modelling New'!$D:$D,'Modelling New'!$T:$T)*1000,"")</f>
        <v>77476.763338544362</v>
      </c>
      <c r="AE125" s="234">
        <f>IFERROR(_xlfn.XLOOKUP($D125,'Modelling New'!$D:$D,'Modelling New'!$O:$O),"")</f>
        <v>0.72347043806469047</v>
      </c>
      <c r="AF125" s="234">
        <f>IFERROR(_xlfn.XLOOKUP($D125,'Modelling New'!$D:$D,'Modelling New'!$W:$W),"")</f>
        <v>0.1328307282790816</v>
      </c>
      <c r="AG125" s="234">
        <f>IFERROR(_xlfn.XLOOKUP($D125,'Modelling New'!$D:$D,'Modelling New'!AE:AE),"")</f>
        <v>0.995</v>
      </c>
      <c r="AH125" s="234">
        <v>0.99750000000000005</v>
      </c>
      <c r="AI125" s="6"/>
      <c r="AJ125" s="6"/>
      <c r="AK125" s="6"/>
      <c r="AL125" s="6"/>
      <c r="AM125" s="6"/>
      <c r="AN125" s="231"/>
      <c r="AO125" s="234"/>
      <c r="AP125" s="234"/>
      <c r="AQ125" s="234"/>
      <c r="AR125" s="227">
        <f>IFERROR(_xlfn.XLOOKUP($D125,'Modelling New'!$D:$D,'Modelling New'!$N:$N),"")</f>
        <v>24.303100000000001</v>
      </c>
      <c r="AS125" s="227"/>
    </row>
    <row r="126" spans="1:45" x14ac:dyDescent="0.35">
      <c r="A126" s="226">
        <f t="shared" si="9"/>
        <v>45869</v>
      </c>
      <c r="B126" s="227">
        <f>YEAR(Daily_KPI[[#This Row],[Date]])+IF(MONTH(Daily_KPI[[#This Row],[Date]])&gt;=4,1,0)</f>
        <v>2026</v>
      </c>
      <c r="C126" s="6">
        <f>YEAR(Daily_KPI[[#This Row],[Date]])</f>
        <v>2025</v>
      </c>
      <c r="D126" s="228">
        <f>Daily_KPI[[#This Row],[Date]]-DAY(Daily_KPI[[#This Row],[Date]])+1</f>
        <v>45839</v>
      </c>
      <c r="E126" s="6">
        <f t="shared" si="11"/>
        <v>31</v>
      </c>
      <c r="F126" s="229">
        <f>IFERROR(_xlfn.XLOOKUP($A126,'Raw Data'!$A:$A,'Raw Data'!$BR:$BR),"")</f>
        <v>12.299999999999999</v>
      </c>
      <c r="G126" s="230">
        <f>IFERROR(_xlfn.XLOOKUP($A126,'Raw Data'!$A:$A,'Raw Data'!$AO:$AO),"")</f>
        <v>0</v>
      </c>
      <c r="H126" s="230"/>
      <c r="I126" s="230">
        <f>IFERROR(_xlfn.XLOOKUP($A126,'Raw Data'!$A:$A,'Raw Data'!$AR:$AR),"")</f>
        <v>4.4884136738056011</v>
      </c>
      <c r="J126" s="230"/>
      <c r="K126" s="230">
        <f>IFERROR(_xlfn.XLOOKUP($A126,'Raw Data'!$A:$A,'Raw Data'!$AV:$AV),"")</f>
        <v>0</v>
      </c>
      <c r="L126" s="230">
        <f>IFERROR(_xlfn.XLOOKUP($A126,'Raw Data'!$A:$A,'Raw Data'!$AW:$AW),"")</f>
        <v>0</v>
      </c>
      <c r="M126" s="230">
        <f>IFERROR(_xlfn.XLOOKUP($A126,'Raw Data'!$A:$A,'Raw Data'!$AX:$AX),"")</f>
        <v>0</v>
      </c>
      <c r="N126" s="230">
        <f>IFERROR(_xlfn.XLOOKUP($A126,'Raw Data'!$A:$A,'Raw Data'!$AY:$AY),"")</f>
        <v>0</v>
      </c>
      <c r="O126" s="231">
        <f>IFERROR(1-(SUMIF('Plant BD'!$B:$B,A126,'Plant BD'!$AE:$AE)/(AA126+SUMIF('Plant BD'!$B:$B,A126,'Plant BD'!$AE:$AE))),"")</f>
        <v>0.99937335518893367</v>
      </c>
      <c r="P126" s="231"/>
      <c r="Q126" s="232"/>
      <c r="R126" s="231">
        <f>IFERROR(1-(SUMIF('Grid BD'!$B:$B,$A126,'Grid BD'!$AD:$AD)/($AA126+SUMIF('Grid BD'!$B:$B,$A126,'Grid BD'!AD:AD))),"")</f>
        <v>1</v>
      </c>
      <c r="S126" s="6"/>
      <c r="T126" s="232"/>
      <c r="U126" s="233">
        <f t="shared" si="8"/>
        <v>0.80691685503831723</v>
      </c>
      <c r="V126" s="233"/>
      <c r="W126" s="234">
        <f t="shared" si="10"/>
        <v>0.1509073602407581</v>
      </c>
      <c r="X126" s="227">
        <f>IFERROR(_xlfn.XLOOKUP($A126,'Raw Data'!$A:$A,'Raw Data'!$BA:$BA),"")</f>
        <v>89033.1</v>
      </c>
      <c r="Y126" s="227">
        <f>IFERROR(_xlfn.XLOOKUP($A126,'Raw Data'!$A:$A,'Raw Data'!BJ:BJ),"")</f>
        <v>89084.200000012061</v>
      </c>
      <c r="Z126" s="227">
        <f>IFERROR(_xlfn.XLOOKUP($A126,'Raw Data'!$A:$A,'Raw Data'!BK:BK),"")</f>
        <v>1063.8000000000147</v>
      </c>
      <c r="AA126" s="227">
        <f>IFERROR(_xlfn.XLOOKUP($A126,'Raw Data'!$A:$A,'Raw Data'!BL:BL),"")</f>
        <v>88020.400000012043</v>
      </c>
      <c r="AB126" s="227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27">
        <f>IFERROR(_xlfn.XLOOKUP($D126,'Modelling New'!$D:$D,'Modelling New'!$T:$T)*1000,"")</f>
        <v>77476.763338544362</v>
      </c>
      <c r="AE126" s="234">
        <f>IFERROR(_xlfn.XLOOKUP($D126,'Modelling New'!$D:$D,'Modelling New'!$O:$O),"")</f>
        <v>0.72347043806469047</v>
      </c>
      <c r="AF126" s="234">
        <f>IFERROR(_xlfn.XLOOKUP($D126,'Modelling New'!$D:$D,'Modelling New'!$W:$W),"")</f>
        <v>0.1328307282790816</v>
      </c>
      <c r="AG126" s="234">
        <f>IFERROR(_xlfn.XLOOKUP($D126,'Modelling New'!$D:$D,'Modelling New'!AE:AE),"")</f>
        <v>0.995</v>
      </c>
      <c r="AH126" s="234">
        <v>0.99750000000000005</v>
      </c>
      <c r="AI126" s="6"/>
      <c r="AJ126" s="6"/>
      <c r="AK126" s="6"/>
      <c r="AL126" s="6"/>
      <c r="AM126" s="6"/>
      <c r="AN126" s="231"/>
      <c r="AO126" s="234"/>
      <c r="AP126" s="234"/>
      <c r="AQ126" s="234"/>
      <c r="AR126" s="227">
        <f>IFERROR(_xlfn.XLOOKUP($D126,'Modelling New'!$D:$D,'Modelling New'!$N:$N),"")</f>
        <v>24.303100000000001</v>
      </c>
      <c r="AS126" s="227"/>
    </row>
    <row r="127" spans="1:45" x14ac:dyDescent="0.35">
      <c r="A127" s="226">
        <f t="shared" si="9"/>
        <v>45870</v>
      </c>
      <c r="B127" s="227">
        <f>YEAR(Daily_KPI[[#This Row],[Date]])+IF(MONTH(Daily_KPI[[#This Row],[Date]])&gt;=4,1,0)</f>
        <v>2026</v>
      </c>
      <c r="C127" s="6">
        <f>YEAR(Daily_KPI[[#This Row],[Date]])</f>
        <v>2025</v>
      </c>
      <c r="D127" s="228">
        <f>Daily_KPI[[#This Row],[Date]]-DAY(Daily_KPI[[#This Row],[Date]])+1</f>
        <v>45870</v>
      </c>
      <c r="E127" s="6">
        <f t="shared" si="11"/>
        <v>31</v>
      </c>
      <c r="F127" s="229">
        <f>IFERROR(_xlfn.XLOOKUP($A127,'Raw Data'!$A:$A,'Raw Data'!$BR:$BR),"")</f>
        <v>12.316666666666668</v>
      </c>
      <c r="G127" s="230">
        <f>IFERROR(_xlfn.XLOOKUP($A127,'Raw Data'!$A:$A,'Raw Data'!$AO:$AO),"")</f>
        <v>0</v>
      </c>
      <c r="H127" s="230"/>
      <c r="I127" s="230">
        <f>IFERROR(_xlfn.XLOOKUP($A127,'Raw Data'!$A:$A,'Raw Data'!$AR:$AR),"")</f>
        <v>5.1893270181219115</v>
      </c>
      <c r="J127" s="230"/>
      <c r="K127" s="230">
        <f>IFERROR(_xlfn.XLOOKUP($A127,'Raw Data'!$A:$A,'Raw Data'!$AV:$AV),"")</f>
        <v>0</v>
      </c>
      <c r="L127" s="230">
        <f>IFERROR(_xlfn.XLOOKUP($A127,'Raw Data'!$A:$A,'Raw Data'!$AW:$AW),"")</f>
        <v>0</v>
      </c>
      <c r="M127" s="230">
        <f>IFERROR(_xlfn.XLOOKUP($A127,'Raw Data'!$A:$A,'Raw Data'!$AX:$AX),"")</f>
        <v>0</v>
      </c>
      <c r="N127" s="230">
        <f>IFERROR(_xlfn.XLOOKUP($A127,'Raw Data'!$A:$A,'Raw Data'!$AY:$AY),"")</f>
        <v>0</v>
      </c>
      <c r="O127" s="231">
        <f>IFERROR(1-(SUMIF('Plant BD'!$B:$B,A127,'Plant BD'!$AE:$AE)/(AA127+SUMIF('Plant BD'!$B:$B,A127,'Plant BD'!$AE:$AE))),"")</f>
        <v>1</v>
      </c>
      <c r="P127" s="231"/>
      <c r="Q127" s="232"/>
      <c r="R127" s="231">
        <f>IFERROR(1-(SUMIF('Grid BD'!$B:$B,$A127,'Grid BD'!$AD:$AD)/($AA127+SUMIF('Grid BD'!$B:$B,$A127,'Grid BD'!AD:AD))),"")</f>
        <v>1</v>
      </c>
      <c r="S127" s="6"/>
      <c r="T127" s="232"/>
      <c r="U127" s="233">
        <f t="shared" ref="U127:U145" si="12">IFERROR(AA127/I127/AB127/1000,"")</f>
        <v>0.80137581454840356</v>
      </c>
      <c r="V127" s="233"/>
      <c r="W127" s="234">
        <f t="shared" si="10"/>
        <v>0.17327504858772852</v>
      </c>
      <c r="X127" s="227">
        <f>IFERROR(_xlfn.XLOOKUP($A127,'Raw Data'!$A:$A,'Raw Data'!$BA:$BA),"")</f>
        <v>102182.6</v>
      </c>
      <c r="Y127" s="227">
        <f>IFERROR(_xlfn.XLOOKUP($A127,'Raw Data'!$A:$A,'Raw Data'!BJ:BJ),"")</f>
        <v>101834.09999997821</v>
      </c>
      <c r="Z127" s="227">
        <f>IFERROR(_xlfn.XLOOKUP($A127,'Raw Data'!$A:$A,'Raw Data'!BK:BK),"")</f>
        <v>767.20000000000255</v>
      </c>
      <c r="AA127" s="227">
        <f>IFERROR(_xlfn.XLOOKUP($A127,'Raw Data'!$A:$A,'Raw Data'!BL:BL),"")</f>
        <v>101066.89999997821</v>
      </c>
      <c r="AB127" s="227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27">
        <f>IFERROR(_xlfn.XLOOKUP($D127,'Modelling New'!$D:$D,'Modelling New'!$T:$T)*1000,"")</f>
        <v>78067.213188687994</v>
      </c>
      <c r="AE127" s="234">
        <f>IFERROR(_xlfn.XLOOKUP($D127,'Modelling New'!$D:$D,'Modelling New'!$O:$O),"")</f>
        <v>0.76954570740685357</v>
      </c>
      <c r="AF127" s="234">
        <f>IFERROR(_xlfn.XLOOKUP($D127,'Modelling New'!$D:$D,'Modelling New'!$W:$W),"")</f>
        <v>0.13384303029361139</v>
      </c>
      <c r="AG127" s="234">
        <f>IFERROR(_xlfn.XLOOKUP($D127,'Modelling New'!$D:$D,'Modelling New'!AE:AE),"")</f>
        <v>0.995</v>
      </c>
      <c r="AH127" s="234">
        <v>0.99750000000000005</v>
      </c>
      <c r="AI127" s="6"/>
      <c r="AJ127" s="6"/>
      <c r="AK127" s="6"/>
      <c r="AL127" s="6"/>
      <c r="AM127" s="6"/>
      <c r="AN127" s="231"/>
      <c r="AO127" s="234"/>
      <c r="AP127" s="234"/>
      <c r="AQ127" s="234"/>
      <c r="AR127" s="227">
        <f>IFERROR(_xlfn.XLOOKUP($D127,'Modelling New'!$D:$D,'Modelling New'!$N:$N),"")</f>
        <v>24.303100000000001</v>
      </c>
      <c r="AS127" s="227"/>
    </row>
    <row r="128" spans="1:45" x14ac:dyDescent="0.35">
      <c r="A128" s="226">
        <f t="shared" si="9"/>
        <v>45871</v>
      </c>
      <c r="B128" s="227">
        <f>YEAR(Daily_KPI[[#This Row],[Date]])+IF(MONTH(Daily_KPI[[#This Row],[Date]])&gt;=4,1,0)</f>
        <v>2026</v>
      </c>
      <c r="C128" s="6">
        <f>YEAR(Daily_KPI[[#This Row],[Date]])</f>
        <v>2025</v>
      </c>
      <c r="D128" s="228">
        <f>Daily_KPI[[#This Row],[Date]]-DAY(Daily_KPI[[#This Row],[Date]])+1</f>
        <v>45870</v>
      </c>
      <c r="E128" s="6">
        <f t="shared" si="11"/>
        <v>31</v>
      </c>
      <c r="F128" s="229">
        <f>IFERROR(_xlfn.XLOOKUP($A128,'Raw Data'!$A:$A,'Raw Data'!$BR:$BR),"")</f>
        <v>12.433333333333332</v>
      </c>
      <c r="G128" s="230">
        <f>IFERROR(_xlfn.XLOOKUP($A128,'Raw Data'!$A:$A,'Raw Data'!$AO:$AO),"")</f>
        <v>0</v>
      </c>
      <c r="H128" s="230"/>
      <c r="I128" s="230">
        <f>IFERROR(_xlfn.XLOOKUP($A128,'Raw Data'!$A:$A,'Raw Data'!$AR:$AR),"")</f>
        <v>5.4087483113673809</v>
      </c>
      <c r="J128" s="230"/>
      <c r="K128" s="230">
        <f>IFERROR(_xlfn.XLOOKUP($A128,'Raw Data'!$A:$A,'Raw Data'!$AV:$AV),"")</f>
        <v>0</v>
      </c>
      <c r="L128" s="230">
        <f>IFERROR(_xlfn.XLOOKUP($A128,'Raw Data'!$A:$A,'Raw Data'!$AW:$AW),"")</f>
        <v>0</v>
      </c>
      <c r="M128" s="230">
        <f>IFERROR(_xlfn.XLOOKUP($A128,'Raw Data'!$A:$A,'Raw Data'!$AX:$AX),"")</f>
        <v>0</v>
      </c>
      <c r="N128" s="230">
        <f>IFERROR(_xlfn.XLOOKUP($A128,'Raw Data'!$A:$A,'Raw Data'!$AY:$AY),"")</f>
        <v>0</v>
      </c>
      <c r="O128" s="231">
        <f>IFERROR(1-(SUMIF('Plant BD'!$B:$B,A128,'Plant BD'!$AE:$AE)/(AA128+SUMIF('Plant BD'!$B:$B,A128,'Plant BD'!$AE:$AE))),"")</f>
        <v>0.96861707293810595</v>
      </c>
      <c r="P128" s="231"/>
      <c r="Q128" s="232"/>
      <c r="R128" s="231">
        <f>IFERROR(1-(SUMIF('Grid BD'!$B:$B,$A128,'Grid BD'!$AD:$AD)/($AA128+SUMIF('Grid BD'!$B:$B,$A128,'Grid BD'!AD:AD))),"")</f>
        <v>1</v>
      </c>
      <c r="S128" s="6"/>
      <c r="T128" s="232"/>
      <c r="U128" s="233">
        <f t="shared" si="12"/>
        <v>0.7875352684875373</v>
      </c>
      <c r="V128" s="233"/>
      <c r="W128" s="234">
        <f t="shared" si="10"/>
        <v>0.17748250223225934</v>
      </c>
      <c r="X128" s="227">
        <f>IFERROR(_xlfn.XLOOKUP($A128,'Raw Data'!$A:$A,'Raw Data'!$BA:$BA),"")</f>
        <v>104924.2</v>
      </c>
      <c r="Y128" s="227">
        <f>IFERROR(_xlfn.XLOOKUP($A128,'Raw Data'!$A:$A,'Raw Data'!BJ:BJ),"")</f>
        <v>104403.60000001965</v>
      </c>
      <c r="Z128" s="227">
        <f>IFERROR(_xlfn.XLOOKUP($A128,'Raw Data'!$A:$A,'Raw Data'!BK:BK),"")</f>
        <v>882.59999999991123</v>
      </c>
      <c r="AA128" s="227">
        <f>IFERROR(_xlfn.XLOOKUP($A128,'Raw Data'!$A:$A,'Raw Data'!BL:BL),"")</f>
        <v>103521.00000001973</v>
      </c>
      <c r="AB128" s="227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27">
        <f>IFERROR(_xlfn.XLOOKUP($D128,'Modelling New'!$D:$D,'Modelling New'!$T:$T)*1000,"")</f>
        <v>78067.213188687994</v>
      </c>
      <c r="AE128" s="234">
        <f>IFERROR(_xlfn.XLOOKUP($D128,'Modelling New'!$D:$D,'Modelling New'!$O:$O),"")</f>
        <v>0.76954570740685357</v>
      </c>
      <c r="AF128" s="234">
        <f>IFERROR(_xlfn.XLOOKUP($D128,'Modelling New'!$D:$D,'Modelling New'!$W:$W),"")</f>
        <v>0.13384303029361139</v>
      </c>
      <c r="AG128" s="234">
        <f>IFERROR(_xlfn.XLOOKUP($D128,'Modelling New'!$D:$D,'Modelling New'!AE:AE),"")</f>
        <v>0.995</v>
      </c>
      <c r="AH128" s="234">
        <v>0.99750000000000005</v>
      </c>
      <c r="AI128" s="6"/>
      <c r="AJ128" s="6"/>
      <c r="AK128" s="6"/>
      <c r="AL128" s="6"/>
      <c r="AM128" s="6"/>
      <c r="AN128" s="231"/>
      <c r="AO128" s="234"/>
      <c r="AP128" s="234"/>
      <c r="AQ128" s="234"/>
      <c r="AR128" s="227">
        <f>IFERROR(_xlfn.XLOOKUP($D128,'Modelling New'!$D:$D,'Modelling New'!$N:$N),"")</f>
        <v>24.303100000000001</v>
      </c>
      <c r="AS128" s="227"/>
    </row>
    <row r="129" spans="1:45" x14ac:dyDescent="0.35">
      <c r="A129" s="226">
        <f t="shared" si="9"/>
        <v>45872</v>
      </c>
      <c r="B129" s="227">
        <f>YEAR(Daily_KPI[[#This Row],[Date]])+IF(MONTH(Daily_KPI[[#This Row],[Date]])&gt;=4,1,0)</f>
        <v>2026</v>
      </c>
      <c r="C129" s="6">
        <f>YEAR(Daily_KPI[[#This Row],[Date]])</f>
        <v>2025</v>
      </c>
      <c r="D129" s="228">
        <f>Daily_KPI[[#This Row],[Date]]-DAY(Daily_KPI[[#This Row],[Date]])+1</f>
        <v>45870</v>
      </c>
      <c r="E129" s="6">
        <f t="shared" si="11"/>
        <v>31</v>
      </c>
      <c r="F129" s="229">
        <f>IFERROR(_xlfn.XLOOKUP($A129,'Raw Data'!$A:$A,'Raw Data'!$BR:$BR),"")</f>
        <v>12.250000000000002</v>
      </c>
      <c r="G129" s="230">
        <f>IFERROR(_xlfn.XLOOKUP($A129,'Raw Data'!$A:$A,'Raw Data'!$AO:$AO),"")</f>
        <v>0</v>
      </c>
      <c r="H129" s="230"/>
      <c r="I129" s="230">
        <f>IFERROR(_xlfn.XLOOKUP($A129,'Raw Data'!$A:$A,'Raw Data'!$AR:$AR),"")</f>
        <v>5.0995756589785826</v>
      </c>
      <c r="J129" s="230"/>
      <c r="K129" s="230">
        <f>IFERROR(_xlfn.XLOOKUP($A129,'Raw Data'!$A:$A,'Raw Data'!$AV:$AV),"")</f>
        <v>0</v>
      </c>
      <c r="L129" s="230">
        <f>IFERROR(_xlfn.XLOOKUP($A129,'Raw Data'!$A:$A,'Raw Data'!$AW:$AW),"")</f>
        <v>0</v>
      </c>
      <c r="M129" s="230">
        <f>IFERROR(_xlfn.XLOOKUP($A129,'Raw Data'!$A:$A,'Raw Data'!$AX:$AX),"")</f>
        <v>0</v>
      </c>
      <c r="N129" s="230">
        <f>IFERROR(_xlfn.XLOOKUP($A129,'Raw Data'!$A:$A,'Raw Data'!$AY:$AY),"")</f>
        <v>0</v>
      </c>
      <c r="O129" s="231">
        <f>IFERROR(1-(SUMIF('Plant BD'!$B:$B,A129,'Plant BD'!$AE:$AE)/(AA129+SUMIF('Plant BD'!$B:$B,A129,'Plant BD'!$AE:$AE))),"")</f>
        <v>1</v>
      </c>
      <c r="P129" s="231"/>
      <c r="Q129" s="232"/>
      <c r="R129" s="231">
        <f>IFERROR(1-(SUMIF('Grid BD'!$B:$B,$A129,'Grid BD'!$AD:$AD)/($AA129+SUMIF('Grid BD'!$B:$B,$A129,'Grid BD'!AD:AD))),"")</f>
        <v>1</v>
      </c>
      <c r="S129" s="6"/>
      <c r="T129" s="232"/>
      <c r="U129" s="233">
        <f t="shared" si="12"/>
        <v>0.79581235586304322</v>
      </c>
      <c r="V129" s="233"/>
      <c r="W129" s="234">
        <f t="shared" si="10"/>
        <v>0.16909605496139907</v>
      </c>
      <c r="X129" s="227">
        <f>IFERROR(_xlfn.XLOOKUP($A129,'Raw Data'!$A:$A,'Raw Data'!$BA:$BA),"")</f>
        <v>99677.200000000012</v>
      </c>
      <c r="Y129" s="227">
        <f>IFERROR(_xlfn.XLOOKUP($A129,'Raw Data'!$A:$A,'Raw Data'!BJ:BJ),"")</f>
        <v>99330.399999977089</v>
      </c>
      <c r="Z129" s="227">
        <f>IFERROR(_xlfn.XLOOKUP($A129,'Raw Data'!$A:$A,'Raw Data'!BK:BK),"")</f>
        <v>701.00000000002183</v>
      </c>
      <c r="AA129" s="227">
        <f>IFERROR(_xlfn.XLOOKUP($A129,'Raw Data'!$A:$A,'Raw Data'!BL:BL),"")</f>
        <v>98629.39999997706</v>
      </c>
      <c r="AB129" s="227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27">
        <f>IFERROR(_xlfn.XLOOKUP($D129,'Modelling New'!$D:$D,'Modelling New'!$T:$T)*1000,"")</f>
        <v>78067.213188687994</v>
      </c>
      <c r="AE129" s="234">
        <f>IFERROR(_xlfn.XLOOKUP($D129,'Modelling New'!$D:$D,'Modelling New'!$O:$O),"")</f>
        <v>0.76954570740685357</v>
      </c>
      <c r="AF129" s="234">
        <f>IFERROR(_xlfn.XLOOKUP($D129,'Modelling New'!$D:$D,'Modelling New'!$W:$W),"")</f>
        <v>0.13384303029361139</v>
      </c>
      <c r="AG129" s="234">
        <f>IFERROR(_xlfn.XLOOKUP($D129,'Modelling New'!$D:$D,'Modelling New'!AE:AE),"")</f>
        <v>0.995</v>
      </c>
      <c r="AH129" s="234">
        <v>0.99750000000000005</v>
      </c>
      <c r="AI129" s="6"/>
      <c r="AJ129" s="6"/>
      <c r="AK129" s="6"/>
      <c r="AL129" s="6"/>
      <c r="AM129" s="6"/>
      <c r="AN129" s="231"/>
      <c r="AO129" s="234"/>
      <c r="AP129" s="234"/>
      <c r="AQ129" s="234"/>
      <c r="AR129" s="227">
        <f>IFERROR(_xlfn.XLOOKUP($D129,'Modelling New'!$D:$D,'Modelling New'!$N:$N),"")</f>
        <v>24.303100000000001</v>
      </c>
      <c r="AS129" s="227"/>
    </row>
    <row r="130" spans="1:45" x14ac:dyDescent="0.35">
      <c r="A130" s="226">
        <f t="shared" si="9"/>
        <v>45873</v>
      </c>
      <c r="B130" s="227">
        <f>YEAR(Daily_KPI[[#This Row],[Date]])+IF(MONTH(Daily_KPI[[#This Row],[Date]])&gt;=4,1,0)</f>
        <v>2026</v>
      </c>
      <c r="C130" s="6">
        <f>YEAR(Daily_KPI[[#This Row],[Date]])</f>
        <v>2025</v>
      </c>
      <c r="D130" s="228">
        <f>Daily_KPI[[#This Row],[Date]]-DAY(Daily_KPI[[#This Row],[Date]])+1</f>
        <v>45870</v>
      </c>
      <c r="E130" s="6">
        <f t="shared" si="11"/>
        <v>31</v>
      </c>
      <c r="F130" s="229">
        <f>IFERROR(_xlfn.XLOOKUP($A130,'Raw Data'!$A:$A,'Raw Data'!$BR:$BR),"")</f>
        <v>11.966666666666669</v>
      </c>
      <c r="G130" s="230">
        <f>IFERROR(_xlfn.XLOOKUP($A130,'Raw Data'!$A:$A,'Raw Data'!$AO:$AO),"")</f>
        <v>0</v>
      </c>
      <c r="H130" s="230"/>
      <c r="I130" s="230">
        <f>IFERROR(_xlfn.XLOOKUP($A130,'Raw Data'!$A:$A,'Raw Data'!$AR:$AR),"")</f>
        <v>5.2310494233937392</v>
      </c>
      <c r="J130" s="230"/>
      <c r="K130" s="230">
        <f>IFERROR(_xlfn.XLOOKUP($A130,'Raw Data'!$A:$A,'Raw Data'!$AV:$AV),"")</f>
        <v>0</v>
      </c>
      <c r="L130" s="230">
        <f>IFERROR(_xlfn.XLOOKUP($A130,'Raw Data'!$A:$A,'Raw Data'!$AW:$AW),"")</f>
        <v>0</v>
      </c>
      <c r="M130" s="230">
        <f>IFERROR(_xlfn.XLOOKUP($A130,'Raw Data'!$A:$A,'Raw Data'!$AX:$AX),"")</f>
        <v>0</v>
      </c>
      <c r="N130" s="230">
        <f>IFERROR(_xlfn.XLOOKUP($A130,'Raw Data'!$A:$A,'Raw Data'!$AY:$AY),"")</f>
        <v>0</v>
      </c>
      <c r="O130" s="231">
        <f>IFERROR(1-(SUMIF('Plant BD'!$B:$B,A130,'Plant BD'!$AE:$AE)/(AA130+SUMIF('Plant BD'!$B:$B,A130,'Plant BD'!$AE:$AE))),"")</f>
        <v>1</v>
      </c>
      <c r="P130" s="231"/>
      <c r="Q130" s="232"/>
      <c r="R130" s="231">
        <f>IFERROR(1-(SUMIF('Grid BD'!$B:$B,$A130,'Grid BD'!$AD:$AD)/($AA130+SUMIF('Grid BD'!$B:$B,$A130,'Grid BD'!AD:AD))),"")</f>
        <v>1</v>
      </c>
      <c r="S130" s="6"/>
      <c r="T130" s="232"/>
      <c r="U130" s="233">
        <f t="shared" si="12"/>
        <v>0.78642756187663709</v>
      </c>
      <c r="V130" s="233"/>
      <c r="W130" s="234">
        <f t="shared" si="10"/>
        <v>0.17141006017065527</v>
      </c>
      <c r="X130" s="227">
        <f>IFERROR(_xlfn.XLOOKUP($A130,'Raw Data'!$A:$A,'Raw Data'!$BA:$BA),"")</f>
        <v>101507.80000000002</v>
      </c>
      <c r="Y130" s="227">
        <f>IFERROR(_xlfn.XLOOKUP($A130,'Raw Data'!$A:$A,'Raw Data'!BJ:BJ),"")</f>
        <v>101006.80000000284</v>
      </c>
      <c r="Z130" s="227">
        <f>IFERROR(_xlfn.XLOOKUP($A130,'Raw Data'!$A:$A,'Raw Data'!BK:BK),"")</f>
        <v>1027.6999999999816</v>
      </c>
      <c r="AA130" s="227">
        <f>IFERROR(_xlfn.XLOOKUP($A130,'Raw Data'!$A:$A,'Raw Data'!BL:BL),"")</f>
        <v>99979.100000002858</v>
      </c>
      <c r="AB130" s="227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27">
        <f>IFERROR(_xlfn.XLOOKUP($D130,'Modelling New'!$D:$D,'Modelling New'!$T:$T)*1000,"")</f>
        <v>78067.213188687994</v>
      </c>
      <c r="AE130" s="234">
        <f>IFERROR(_xlfn.XLOOKUP($D130,'Modelling New'!$D:$D,'Modelling New'!$O:$O),"")</f>
        <v>0.76954570740685357</v>
      </c>
      <c r="AF130" s="234">
        <f>IFERROR(_xlfn.XLOOKUP($D130,'Modelling New'!$D:$D,'Modelling New'!$W:$W),"")</f>
        <v>0.13384303029361139</v>
      </c>
      <c r="AG130" s="234">
        <f>IFERROR(_xlfn.XLOOKUP($D130,'Modelling New'!$D:$D,'Modelling New'!AE:AE),"")</f>
        <v>0.995</v>
      </c>
      <c r="AH130" s="234">
        <v>0.99750000000000005</v>
      </c>
      <c r="AI130" s="6"/>
      <c r="AJ130" s="6"/>
      <c r="AK130" s="6"/>
      <c r="AL130" s="6"/>
      <c r="AM130" s="6"/>
      <c r="AN130" s="231"/>
      <c r="AO130" s="234"/>
      <c r="AP130" s="234"/>
      <c r="AQ130" s="234"/>
      <c r="AR130" s="227">
        <f>IFERROR(_xlfn.XLOOKUP($D130,'Modelling New'!$D:$D,'Modelling New'!$N:$N),"")</f>
        <v>24.303100000000001</v>
      </c>
      <c r="AS130" s="227"/>
    </row>
    <row r="131" spans="1:45" x14ac:dyDescent="0.35">
      <c r="A131" s="226">
        <f t="shared" si="9"/>
        <v>45874</v>
      </c>
      <c r="B131" s="227">
        <f>YEAR(Daily_KPI[[#This Row],[Date]])+IF(MONTH(Daily_KPI[[#This Row],[Date]])&gt;=4,1,0)</f>
        <v>2026</v>
      </c>
      <c r="C131" s="6">
        <f>YEAR(Daily_KPI[[#This Row],[Date]])</f>
        <v>2025</v>
      </c>
      <c r="D131" s="228">
        <f>Daily_KPI[[#This Row],[Date]]-DAY(Daily_KPI[[#This Row],[Date]])+1</f>
        <v>45870</v>
      </c>
      <c r="E131" s="6">
        <f t="shared" si="11"/>
        <v>31</v>
      </c>
      <c r="F131" s="229">
        <f>IFERROR(_xlfn.XLOOKUP($A131,'Raw Data'!$A:$A,'Raw Data'!$BR:$BR),"")</f>
        <v>0</v>
      </c>
      <c r="G131" s="230">
        <f>IFERROR(_xlfn.XLOOKUP($A131,'Raw Data'!$A:$A,'Raw Data'!$AO:$AO),"")</f>
        <v>0</v>
      </c>
      <c r="H131" s="230"/>
      <c r="I131" s="230">
        <f>IFERROR(_xlfn.XLOOKUP($A131,'Raw Data'!$A:$A,'Raw Data'!$AR:$AR),"")</f>
        <v>0</v>
      </c>
      <c r="J131" s="230"/>
      <c r="K131" s="230">
        <f>IFERROR(_xlfn.XLOOKUP($A131,'Raw Data'!$A:$A,'Raw Data'!$AV:$AV),"")</f>
        <v>0</v>
      </c>
      <c r="L131" s="230">
        <f>IFERROR(_xlfn.XLOOKUP($A131,'Raw Data'!$A:$A,'Raw Data'!$AW:$AW),"")</f>
        <v>0</v>
      </c>
      <c r="M131" s="230">
        <f>IFERROR(_xlfn.XLOOKUP($A131,'Raw Data'!$A:$A,'Raw Data'!$AX:$AX),"")</f>
        <v>0</v>
      </c>
      <c r="N131" s="230">
        <f>IFERROR(_xlfn.XLOOKUP($A131,'Raw Data'!$A:$A,'Raw Data'!$AY:$AY),"")</f>
        <v>0</v>
      </c>
      <c r="O131" s="231" t="str">
        <f>IFERROR(1-(SUMIF('Plant BD'!$B:$B,A131,'Plant BD'!$AE:$AE)/(AA131+SUMIF('Plant BD'!$B:$B,A131,'Plant BD'!$AE:$AE))),"")</f>
        <v/>
      </c>
      <c r="P131" s="231"/>
      <c r="Q131" s="232"/>
      <c r="R131" s="231" t="str">
        <f>IFERROR(1-(SUMIF('Grid BD'!$B:$B,$A131,'Grid BD'!$AD:$AD)/($AA131+SUMIF('Grid BD'!$B:$B,$A131,'Grid BD'!AD:AD))),"")</f>
        <v/>
      </c>
      <c r="S131" s="6"/>
      <c r="T131" s="232"/>
      <c r="U131" s="233" t="str">
        <f t="shared" si="12"/>
        <v/>
      </c>
      <c r="V131" s="233"/>
      <c r="W131" s="234">
        <f t="shared" si="10"/>
        <v>0</v>
      </c>
      <c r="X131" s="227">
        <f>IFERROR(_xlfn.XLOOKUP($A131,'Raw Data'!$A:$A,'Raw Data'!$BA:$BA),"")</f>
        <v>0</v>
      </c>
      <c r="Y131" s="227">
        <f>IFERROR(_xlfn.XLOOKUP($A131,'Raw Data'!$A:$A,'Raw Data'!BJ:BJ),"")</f>
        <v>0</v>
      </c>
      <c r="Z131" s="227">
        <f>IFERROR(_xlfn.XLOOKUP($A131,'Raw Data'!$A:$A,'Raw Data'!BK:BK),"")</f>
        <v>0</v>
      </c>
      <c r="AA131" s="227">
        <f>IFERROR(_xlfn.XLOOKUP($A131,'Raw Data'!$A:$A,'Raw Data'!BL:BL),"")</f>
        <v>0</v>
      </c>
      <c r="AB131" s="227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27">
        <f>IFERROR(_xlfn.XLOOKUP($D131,'Modelling New'!$D:$D,'Modelling New'!$T:$T)*1000,"")</f>
        <v>78067.213188687994</v>
      </c>
      <c r="AE131" s="234">
        <f>IFERROR(_xlfn.XLOOKUP($D131,'Modelling New'!$D:$D,'Modelling New'!$O:$O),"")</f>
        <v>0.76954570740685357</v>
      </c>
      <c r="AF131" s="234">
        <f>IFERROR(_xlfn.XLOOKUP($D131,'Modelling New'!$D:$D,'Modelling New'!$W:$W),"")</f>
        <v>0.13384303029361139</v>
      </c>
      <c r="AG131" s="234">
        <f>IFERROR(_xlfn.XLOOKUP($D131,'Modelling New'!$D:$D,'Modelling New'!AE:AE),"")</f>
        <v>0.995</v>
      </c>
      <c r="AH131" s="234">
        <v>0.99750000000000005</v>
      </c>
      <c r="AI131" s="6"/>
      <c r="AJ131" s="6"/>
      <c r="AK131" s="6"/>
      <c r="AL131" s="6"/>
      <c r="AM131" s="6"/>
      <c r="AN131" s="231"/>
      <c r="AO131" s="234"/>
      <c r="AP131" s="234"/>
      <c r="AQ131" s="234"/>
      <c r="AR131" s="227">
        <f>IFERROR(_xlfn.XLOOKUP($D131,'Modelling New'!$D:$D,'Modelling New'!$N:$N),"")</f>
        <v>24.303100000000001</v>
      </c>
      <c r="AS131" s="227"/>
    </row>
    <row r="132" spans="1:45" x14ac:dyDescent="0.35">
      <c r="A132" s="226">
        <f t="shared" si="9"/>
        <v>45875</v>
      </c>
      <c r="B132" s="227">
        <f>YEAR(Daily_KPI[[#This Row],[Date]])+IF(MONTH(Daily_KPI[[#This Row],[Date]])&gt;=4,1,0)</f>
        <v>2026</v>
      </c>
      <c r="C132" s="6">
        <f>YEAR(Daily_KPI[[#This Row],[Date]])</f>
        <v>2025</v>
      </c>
      <c r="D132" s="228">
        <f>Daily_KPI[[#This Row],[Date]]-DAY(Daily_KPI[[#This Row],[Date]])+1</f>
        <v>45870</v>
      </c>
      <c r="E132" s="6">
        <f t="shared" si="11"/>
        <v>31</v>
      </c>
      <c r="F132" s="229">
        <f>IFERROR(_xlfn.XLOOKUP($A132,'Raw Data'!$A:$A,'Raw Data'!$BR:$BR),"")</f>
        <v>0</v>
      </c>
      <c r="G132" s="230">
        <f>IFERROR(_xlfn.XLOOKUP($A132,'Raw Data'!$A:$A,'Raw Data'!$AO:$AO),"")</f>
        <v>0</v>
      </c>
      <c r="H132" s="230"/>
      <c r="I132" s="230">
        <f>IFERROR(_xlfn.XLOOKUP($A132,'Raw Data'!$A:$A,'Raw Data'!$AR:$AR),"")</f>
        <v>0</v>
      </c>
      <c r="J132" s="230"/>
      <c r="K132" s="230">
        <f>IFERROR(_xlfn.XLOOKUP($A132,'Raw Data'!$A:$A,'Raw Data'!$AV:$AV),"")</f>
        <v>0</v>
      </c>
      <c r="L132" s="230">
        <f>IFERROR(_xlfn.XLOOKUP($A132,'Raw Data'!$A:$A,'Raw Data'!$AW:$AW),"")</f>
        <v>0</v>
      </c>
      <c r="M132" s="230">
        <f>IFERROR(_xlfn.XLOOKUP($A132,'Raw Data'!$A:$A,'Raw Data'!$AX:$AX),"")</f>
        <v>0</v>
      </c>
      <c r="N132" s="230">
        <f>IFERROR(_xlfn.XLOOKUP($A132,'Raw Data'!$A:$A,'Raw Data'!$AY:$AY),"")</f>
        <v>0</v>
      </c>
      <c r="O132" s="231" t="str">
        <f>IFERROR(1-(SUMIF('Plant BD'!$B:$B,A132,'Plant BD'!$AE:$AE)/(AA132+SUMIF('Plant BD'!$B:$B,A132,'Plant BD'!$AE:$AE))),"")</f>
        <v/>
      </c>
      <c r="P132" s="231"/>
      <c r="Q132" s="232"/>
      <c r="R132" s="231" t="str">
        <f>IFERROR(1-(SUMIF('Grid BD'!$B:$B,$A132,'Grid BD'!$AD:$AD)/($AA132+SUMIF('Grid BD'!$B:$B,$A132,'Grid BD'!AD:AD))),"")</f>
        <v/>
      </c>
      <c r="S132" s="6"/>
      <c r="T132" s="232"/>
      <c r="U132" s="233" t="str">
        <f t="shared" si="12"/>
        <v/>
      </c>
      <c r="V132" s="233"/>
      <c r="W132" s="234">
        <f t="shared" si="10"/>
        <v>0</v>
      </c>
      <c r="X132" s="227">
        <f>IFERROR(_xlfn.XLOOKUP($A132,'Raw Data'!$A:$A,'Raw Data'!$BA:$BA),"")</f>
        <v>0</v>
      </c>
      <c r="Y132" s="227">
        <f>IFERROR(_xlfn.XLOOKUP($A132,'Raw Data'!$A:$A,'Raw Data'!BJ:BJ),"")</f>
        <v>0</v>
      </c>
      <c r="Z132" s="227">
        <f>IFERROR(_xlfn.XLOOKUP($A132,'Raw Data'!$A:$A,'Raw Data'!BK:BK),"")</f>
        <v>0</v>
      </c>
      <c r="AA132" s="227">
        <f>IFERROR(_xlfn.XLOOKUP($A132,'Raw Data'!$A:$A,'Raw Data'!BL:BL),"")</f>
        <v>0</v>
      </c>
      <c r="AB132" s="227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27">
        <f>IFERROR(_xlfn.XLOOKUP($D132,'Modelling New'!$D:$D,'Modelling New'!$T:$T)*1000,"")</f>
        <v>78067.213188687994</v>
      </c>
      <c r="AE132" s="234">
        <f>IFERROR(_xlfn.XLOOKUP($D132,'Modelling New'!$D:$D,'Modelling New'!$O:$O),"")</f>
        <v>0.76954570740685357</v>
      </c>
      <c r="AF132" s="234">
        <f>IFERROR(_xlfn.XLOOKUP($D132,'Modelling New'!$D:$D,'Modelling New'!$W:$W),"")</f>
        <v>0.13384303029361139</v>
      </c>
      <c r="AG132" s="234">
        <f>IFERROR(_xlfn.XLOOKUP($D132,'Modelling New'!$D:$D,'Modelling New'!AE:AE),"")</f>
        <v>0.995</v>
      </c>
      <c r="AH132" s="234">
        <v>0.99750000000000005</v>
      </c>
      <c r="AI132" s="6"/>
      <c r="AJ132" s="6"/>
      <c r="AK132" s="6"/>
      <c r="AL132" s="6"/>
      <c r="AM132" s="6"/>
      <c r="AN132" s="231"/>
      <c r="AO132" s="234"/>
      <c r="AP132" s="234"/>
      <c r="AQ132" s="234"/>
      <c r="AR132" s="227">
        <f>IFERROR(_xlfn.XLOOKUP($D132,'Modelling New'!$D:$D,'Modelling New'!$N:$N),"")</f>
        <v>24.303100000000001</v>
      </c>
      <c r="AS132" s="227"/>
    </row>
    <row r="133" spans="1:45" x14ac:dyDescent="0.35">
      <c r="A133" s="226">
        <f t="shared" si="9"/>
        <v>45876</v>
      </c>
      <c r="B133" s="227">
        <f>YEAR(Daily_KPI[[#This Row],[Date]])+IF(MONTH(Daily_KPI[[#This Row],[Date]])&gt;=4,1,0)</f>
        <v>2026</v>
      </c>
      <c r="C133" s="6">
        <f>YEAR(Daily_KPI[[#This Row],[Date]])</f>
        <v>2025</v>
      </c>
      <c r="D133" s="228">
        <f>Daily_KPI[[#This Row],[Date]]-DAY(Daily_KPI[[#This Row],[Date]])+1</f>
        <v>45870</v>
      </c>
      <c r="E133" s="6">
        <f t="shared" si="11"/>
        <v>31</v>
      </c>
      <c r="F133" s="229" t="str">
        <f>IFERROR(_xlfn.XLOOKUP($A133,'Raw Data'!$A:$A,'Raw Data'!$BR:$BR),"")</f>
        <v/>
      </c>
      <c r="G133" s="230" t="str">
        <f>IFERROR(_xlfn.XLOOKUP($A133,'Raw Data'!$A:$A,'Raw Data'!$AO:$AO),"")</f>
        <v/>
      </c>
      <c r="H133" s="230"/>
      <c r="I133" s="230" t="str">
        <f>IFERROR(_xlfn.XLOOKUP($A133,'Raw Data'!$A:$A,'Raw Data'!$AR:$AR),"")</f>
        <v/>
      </c>
      <c r="J133" s="230"/>
      <c r="K133" s="230" t="str">
        <f>IFERROR(_xlfn.XLOOKUP($A133,'Raw Data'!$A:$A,'Raw Data'!$AV:$AV),"")</f>
        <v/>
      </c>
      <c r="L133" s="230" t="str">
        <f>IFERROR(_xlfn.XLOOKUP($A133,'Raw Data'!$A:$A,'Raw Data'!$AW:$AW),"")</f>
        <v/>
      </c>
      <c r="M133" s="230" t="str">
        <f>IFERROR(_xlfn.XLOOKUP($A133,'Raw Data'!$A:$A,'Raw Data'!$AX:$AX),"")</f>
        <v/>
      </c>
      <c r="N133" s="230" t="str">
        <f>IFERROR(_xlfn.XLOOKUP($A133,'Raw Data'!$A:$A,'Raw Data'!$AY:$AY),"")</f>
        <v/>
      </c>
      <c r="O133" s="231" t="str">
        <f>IFERROR(1-(SUMIF('Plant BD'!$B:$B,A133,'Plant BD'!$AE:$AE)/(AA133+SUMIF('Plant BD'!$B:$B,A133,'Plant BD'!$AE:$AE))),"")</f>
        <v/>
      </c>
      <c r="P133" s="231"/>
      <c r="Q133" s="232"/>
      <c r="R133" s="231" t="str">
        <f>IFERROR(1-(SUMIF('Grid BD'!$B:$B,$A133,'Grid BD'!$AD:$AD)/($AA133+SUMIF('Grid BD'!$B:$B,$A133,'Grid BD'!AD:AD))),"")</f>
        <v/>
      </c>
      <c r="S133" s="6"/>
      <c r="T133" s="232"/>
      <c r="U133" s="233" t="str">
        <f t="shared" si="12"/>
        <v/>
      </c>
      <c r="V133" s="233"/>
      <c r="W133" s="234" t="str">
        <f t="shared" si="10"/>
        <v/>
      </c>
      <c r="X133" s="227" t="str">
        <f>IFERROR(_xlfn.XLOOKUP($A133,'Raw Data'!$A:$A,'Raw Data'!$BA:$BA),"")</f>
        <v/>
      </c>
      <c r="Y133" s="227" t="str">
        <f>IFERROR(_xlfn.XLOOKUP($A133,'Raw Data'!$A:$A,'Raw Data'!BJ:BJ),"")</f>
        <v/>
      </c>
      <c r="Z133" s="227" t="str">
        <f>IFERROR(_xlfn.XLOOKUP($A133,'Raw Data'!$A:$A,'Raw Data'!BK:BK),"")</f>
        <v/>
      </c>
      <c r="AA133" s="227" t="str">
        <f>IFERROR(_xlfn.XLOOKUP($A133,'Raw Data'!$A:$A,'Raw Data'!BL:BL),"")</f>
        <v/>
      </c>
      <c r="AB133" s="227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27">
        <f>IFERROR(_xlfn.XLOOKUP($D133,'Modelling New'!$D:$D,'Modelling New'!$T:$T)*1000,"")</f>
        <v>78067.213188687994</v>
      </c>
      <c r="AE133" s="234">
        <f>IFERROR(_xlfn.XLOOKUP($D133,'Modelling New'!$D:$D,'Modelling New'!$O:$O),"")</f>
        <v>0.76954570740685357</v>
      </c>
      <c r="AF133" s="234">
        <f>IFERROR(_xlfn.XLOOKUP($D133,'Modelling New'!$D:$D,'Modelling New'!$W:$W),"")</f>
        <v>0.13384303029361139</v>
      </c>
      <c r="AG133" s="234">
        <f>IFERROR(_xlfn.XLOOKUP($D133,'Modelling New'!$D:$D,'Modelling New'!AE:AE),"")</f>
        <v>0.995</v>
      </c>
      <c r="AH133" s="234">
        <v>0.99750000000000005</v>
      </c>
      <c r="AI133" s="6"/>
      <c r="AJ133" s="6"/>
      <c r="AK133" s="6"/>
      <c r="AL133" s="6"/>
      <c r="AM133" s="6"/>
      <c r="AN133" s="231"/>
      <c r="AO133" s="234"/>
      <c r="AP133" s="234"/>
      <c r="AQ133" s="234"/>
      <c r="AR133" s="227">
        <f>IFERROR(_xlfn.XLOOKUP($D133,'Modelling New'!$D:$D,'Modelling New'!$N:$N),"")</f>
        <v>24.303100000000001</v>
      </c>
      <c r="AS133" s="227"/>
    </row>
    <row r="134" spans="1:45" x14ac:dyDescent="0.35">
      <c r="A134" s="226">
        <f t="shared" si="9"/>
        <v>45877</v>
      </c>
      <c r="B134" s="227">
        <f>YEAR(Daily_KPI[[#This Row],[Date]])+IF(MONTH(Daily_KPI[[#This Row],[Date]])&gt;=4,1,0)</f>
        <v>2026</v>
      </c>
      <c r="C134" s="6">
        <f>YEAR(Daily_KPI[[#This Row],[Date]])</f>
        <v>2025</v>
      </c>
      <c r="D134" s="228">
        <f>Daily_KPI[[#This Row],[Date]]-DAY(Daily_KPI[[#This Row],[Date]])+1</f>
        <v>45870</v>
      </c>
      <c r="E134" s="6">
        <f t="shared" si="11"/>
        <v>31</v>
      </c>
      <c r="F134" s="229" t="str">
        <f>IFERROR(_xlfn.XLOOKUP($A134,'Raw Data'!$A:$A,'Raw Data'!$BR:$BR),"")</f>
        <v/>
      </c>
      <c r="G134" s="230" t="str">
        <f>IFERROR(_xlfn.XLOOKUP($A134,'Raw Data'!$A:$A,'Raw Data'!$AO:$AO),"")</f>
        <v/>
      </c>
      <c r="H134" s="230"/>
      <c r="I134" s="230" t="str">
        <f>IFERROR(_xlfn.XLOOKUP($A134,'Raw Data'!$A:$A,'Raw Data'!$AR:$AR),"")</f>
        <v/>
      </c>
      <c r="J134" s="230"/>
      <c r="K134" s="230" t="str">
        <f>IFERROR(_xlfn.XLOOKUP($A134,'Raw Data'!$A:$A,'Raw Data'!$AV:$AV),"")</f>
        <v/>
      </c>
      <c r="L134" s="230" t="str">
        <f>IFERROR(_xlfn.XLOOKUP($A134,'Raw Data'!$A:$A,'Raw Data'!$AW:$AW),"")</f>
        <v/>
      </c>
      <c r="M134" s="230" t="str">
        <f>IFERROR(_xlfn.XLOOKUP($A134,'Raw Data'!$A:$A,'Raw Data'!$AX:$AX),"")</f>
        <v/>
      </c>
      <c r="N134" s="230" t="str">
        <f>IFERROR(_xlfn.XLOOKUP($A134,'Raw Data'!$A:$A,'Raw Data'!$AY:$AY),"")</f>
        <v/>
      </c>
      <c r="O134" s="231" t="str">
        <f>IFERROR(1-(SUMIF('Plant BD'!$B:$B,A134,'Plant BD'!$AE:$AE)/(AA134+SUMIF('Plant BD'!$B:$B,A134,'Plant BD'!$AE:$AE))),"")</f>
        <v/>
      </c>
      <c r="P134" s="231"/>
      <c r="Q134" s="232"/>
      <c r="R134" s="231" t="str">
        <f>IFERROR(1-(SUMIF('Grid BD'!$B:$B,$A134,'Grid BD'!$AD:$AD)/($AA134+SUMIF('Grid BD'!$B:$B,$A134,'Grid BD'!AD:AD))),"")</f>
        <v/>
      </c>
      <c r="S134" s="6"/>
      <c r="T134" s="232"/>
      <c r="U134" s="233" t="str">
        <f t="shared" si="12"/>
        <v/>
      </c>
      <c r="V134" s="233"/>
      <c r="W134" s="234" t="str">
        <f t="shared" si="10"/>
        <v/>
      </c>
      <c r="X134" s="227" t="str">
        <f>IFERROR(_xlfn.XLOOKUP($A134,'Raw Data'!$A:$A,'Raw Data'!$BA:$BA),"")</f>
        <v/>
      </c>
      <c r="Y134" s="227" t="str">
        <f>IFERROR(_xlfn.XLOOKUP($A134,'Raw Data'!$A:$A,'Raw Data'!BJ:BJ),"")</f>
        <v/>
      </c>
      <c r="Z134" s="227" t="str">
        <f>IFERROR(_xlfn.XLOOKUP($A134,'Raw Data'!$A:$A,'Raw Data'!BK:BK),"")</f>
        <v/>
      </c>
      <c r="AA134" s="227" t="str">
        <f>IFERROR(_xlfn.XLOOKUP($A134,'Raw Data'!$A:$A,'Raw Data'!BL:BL),"")</f>
        <v/>
      </c>
      <c r="AB134" s="227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27">
        <f>IFERROR(_xlfn.XLOOKUP($D134,'Modelling New'!$D:$D,'Modelling New'!$T:$T)*1000,"")</f>
        <v>78067.213188687994</v>
      </c>
      <c r="AE134" s="234">
        <f>IFERROR(_xlfn.XLOOKUP($D134,'Modelling New'!$D:$D,'Modelling New'!$O:$O),"")</f>
        <v>0.76954570740685357</v>
      </c>
      <c r="AF134" s="234">
        <f>IFERROR(_xlfn.XLOOKUP($D134,'Modelling New'!$D:$D,'Modelling New'!$W:$W),"")</f>
        <v>0.13384303029361139</v>
      </c>
      <c r="AG134" s="234">
        <f>IFERROR(_xlfn.XLOOKUP($D134,'Modelling New'!$D:$D,'Modelling New'!AE:AE),"")</f>
        <v>0.995</v>
      </c>
      <c r="AH134" s="234">
        <v>0.99750000000000005</v>
      </c>
      <c r="AI134" s="6"/>
      <c r="AJ134" s="6"/>
      <c r="AK134" s="6"/>
      <c r="AL134" s="6"/>
      <c r="AM134" s="6"/>
      <c r="AN134" s="231"/>
      <c r="AO134" s="234"/>
      <c r="AP134" s="234"/>
      <c r="AQ134" s="234"/>
      <c r="AR134" s="227">
        <f>IFERROR(_xlfn.XLOOKUP($D134,'Modelling New'!$D:$D,'Modelling New'!$N:$N),"")</f>
        <v>24.303100000000001</v>
      </c>
      <c r="AS134" s="227"/>
    </row>
    <row r="135" spans="1:45" x14ac:dyDescent="0.35">
      <c r="A135" s="226">
        <f t="shared" si="9"/>
        <v>45878</v>
      </c>
      <c r="B135" s="227">
        <f>YEAR(Daily_KPI[[#This Row],[Date]])+IF(MONTH(Daily_KPI[[#This Row],[Date]])&gt;=4,1,0)</f>
        <v>2026</v>
      </c>
      <c r="C135" s="6">
        <f>YEAR(Daily_KPI[[#This Row],[Date]])</f>
        <v>2025</v>
      </c>
      <c r="D135" s="228">
        <f>Daily_KPI[[#This Row],[Date]]-DAY(Daily_KPI[[#This Row],[Date]])+1</f>
        <v>45870</v>
      </c>
      <c r="E135" s="6">
        <f t="shared" si="11"/>
        <v>31</v>
      </c>
      <c r="F135" s="229" t="str">
        <f>IFERROR(_xlfn.XLOOKUP($A135,'Raw Data'!$A:$A,'Raw Data'!$BR:$BR),"")</f>
        <v/>
      </c>
      <c r="G135" s="230" t="str">
        <f>IFERROR(_xlfn.XLOOKUP($A135,'Raw Data'!$A:$A,'Raw Data'!$AO:$AO),"")</f>
        <v/>
      </c>
      <c r="H135" s="230"/>
      <c r="I135" s="230" t="str">
        <f>IFERROR(_xlfn.XLOOKUP($A135,'Raw Data'!$A:$A,'Raw Data'!$AR:$AR),"")</f>
        <v/>
      </c>
      <c r="J135" s="230"/>
      <c r="K135" s="230" t="str">
        <f>IFERROR(_xlfn.XLOOKUP($A135,'Raw Data'!$A:$A,'Raw Data'!$AV:$AV),"")</f>
        <v/>
      </c>
      <c r="L135" s="230" t="str">
        <f>IFERROR(_xlfn.XLOOKUP($A135,'Raw Data'!$A:$A,'Raw Data'!$AW:$AW),"")</f>
        <v/>
      </c>
      <c r="M135" s="230" t="str">
        <f>IFERROR(_xlfn.XLOOKUP($A135,'Raw Data'!$A:$A,'Raw Data'!$AX:$AX),"")</f>
        <v/>
      </c>
      <c r="N135" s="230" t="str">
        <f>IFERROR(_xlfn.XLOOKUP($A135,'Raw Data'!$A:$A,'Raw Data'!$AY:$AY),"")</f>
        <v/>
      </c>
      <c r="O135" s="231" t="str">
        <f>IFERROR(1-(SUMIF('Plant BD'!$B:$B,A135,'Plant BD'!$AE:$AE)/(AA135+SUMIF('Plant BD'!$B:$B,A135,'Plant BD'!$AE:$AE))),"")</f>
        <v/>
      </c>
      <c r="P135" s="231"/>
      <c r="Q135" s="232"/>
      <c r="R135" s="231" t="str">
        <f>IFERROR(1-(SUMIF('Grid BD'!$B:$B,$A135,'Grid BD'!$AD:$AD)/($AA135+SUMIF('Grid BD'!$B:$B,$A135,'Grid BD'!AD:AD))),"")</f>
        <v/>
      </c>
      <c r="S135" s="6"/>
      <c r="T135" s="232"/>
      <c r="U135" s="233" t="str">
        <f t="shared" si="12"/>
        <v/>
      </c>
      <c r="V135" s="233"/>
      <c r="W135" s="234" t="str">
        <f t="shared" si="10"/>
        <v/>
      </c>
      <c r="X135" s="227" t="str">
        <f>IFERROR(_xlfn.XLOOKUP($A135,'Raw Data'!$A:$A,'Raw Data'!$BA:$BA),"")</f>
        <v/>
      </c>
      <c r="Y135" s="227" t="str">
        <f>IFERROR(_xlfn.XLOOKUP($A135,'Raw Data'!$A:$A,'Raw Data'!BJ:BJ),"")</f>
        <v/>
      </c>
      <c r="Z135" s="227" t="str">
        <f>IFERROR(_xlfn.XLOOKUP($A135,'Raw Data'!$A:$A,'Raw Data'!BK:BK),"")</f>
        <v/>
      </c>
      <c r="AA135" s="227" t="str">
        <f>IFERROR(_xlfn.XLOOKUP($A135,'Raw Data'!$A:$A,'Raw Data'!BL:BL),"")</f>
        <v/>
      </c>
      <c r="AB135" s="227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27">
        <f>IFERROR(_xlfn.XLOOKUP($D135,'Modelling New'!$D:$D,'Modelling New'!$T:$T)*1000,"")</f>
        <v>78067.213188687994</v>
      </c>
      <c r="AE135" s="234">
        <f>IFERROR(_xlfn.XLOOKUP($D135,'Modelling New'!$D:$D,'Modelling New'!$O:$O),"")</f>
        <v>0.76954570740685357</v>
      </c>
      <c r="AF135" s="234">
        <f>IFERROR(_xlfn.XLOOKUP($D135,'Modelling New'!$D:$D,'Modelling New'!$W:$W),"")</f>
        <v>0.13384303029361139</v>
      </c>
      <c r="AG135" s="234">
        <f>IFERROR(_xlfn.XLOOKUP($D135,'Modelling New'!$D:$D,'Modelling New'!AE:AE),"")</f>
        <v>0.995</v>
      </c>
      <c r="AH135" s="234">
        <v>0.99750000000000005</v>
      </c>
      <c r="AI135" s="6"/>
      <c r="AJ135" s="6"/>
      <c r="AK135" s="6"/>
      <c r="AL135" s="6"/>
      <c r="AM135" s="6"/>
      <c r="AN135" s="231"/>
      <c r="AO135" s="234"/>
      <c r="AP135" s="234"/>
      <c r="AQ135" s="234"/>
      <c r="AR135" s="227">
        <f>IFERROR(_xlfn.XLOOKUP($D135,'Modelling New'!$D:$D,'Modelling New'!$N:$N),"")</f>
        <v>24.303100000000001</v>
      </c>
      <c r="AS135" s="227"/>
    </row>
    <row r="136" spans="1:45" x14ac:dyDescent="0.35">
      <c r="A136" s="226">
        <f t="shared" si="9"/>
        <v>45879</v>
      </c>
      <c r="B136" s="227">
        <f>YEAR(Daily_KPI[[#This Row],[Date]])+IF(MONTH(Daily_KPI[[#This Row],[Date]])&gt;=4,1,0)</f>
        <v>2026</v>
      </c>
      <c r="C136" s="6">
        <f>YEAR(Daily_KPI[[#This Row],[Date]])</f>
        <v>2025</v>
      </c>
      <c r="D136" s="228">
        <f>Daily_KPI[[#This Row],[Date]]-DAY(Daily_KPI[[#This Row],[Date]])+1</f>
        <v>45870</v>
      </c>
      <c r="E136" s="6">
        <f t="shared" si="11"/>
        <v>31</v>
      </c>
      <c r="F136" s="229" t="str">
        <f>IFERROR(_xlfn.XLOOKUP($A136,'Raw Data'!$A:$A,'Raw Data'!$BR:$BR),"")</f>
        <v/>
      </c>
      <c r="G136" s="230" t="str">
        <f>IFERROR(_xlfn.XLOOKUP($A136,'Raw Data'!$A:$A,'Raw Data'!$AO:$AO),"")</f>
        <v/>
      </c>
      <c r="H136" s="230"/>
      <c r="I136" s="230" t="str">
        <f>IFERROR(_xlfn.XLOOKUP($A136,'Raw Data'!$A:$A,'Raw Data'!$AR:$AR),"")</f>
        <v/>
      </c>
      <c r="J136" s="230"/>
      <c r="K136" s="230" t="str">
        <f>IFERROR(_xlfn.XLOOKUP($A136,'Raw Data'!$A:$A,'Raw Data'!$AV:$AV),"")</f>
        <v/>
      </c>
      <c r="L136" s="230" t="str">
        <f>IFERROR(_xlfn.XLOOKUP($A136,'Raw Data'!$A:$A,'Raw Data'!$AW:$AW),"")</f>
        <v/>
      </c>
      <c r="M136" s="230" t="str">
        <f>IFERROR(_xlfn.XLOOKUP($A136,'Raw Data'!$A:$A,'Raw Data'!$AX:$AX),"")</f>
        <v/>
      </c>
      <c r="N136" s="230" t="str">
        <f>IFERROR(_xlfn.XLOOKUP($A136,'Raw Data'!$A:$A,'Raw Data'!$AY:$AY),"")</f>
        <v/>
      </c>
      <c r="O136" s="231" t="str">
        <f>IFERROR(1-(SUMIF('Plant BD'!$B:$B,A136,'Plant BD'!$AE:$AE)/(AA136+SUMIF('Plant BD'!$B:$B,A136,'Plant BD'!$AE:$AE))),"")</f>
        <v/>
      </c>
      <c r="P136" s="231"/>
      <c r="Q136" s="232"/>
      <c r="R136" s="231" t="str">
        <f>IFERROR(1-(SUMIF('Grid BD'!$B:$B,$A136,'Grid BD'!$AD:$AD)/($AA136+SUMIF('Grid BD'!$B:$B,$A136,'Grid BD'!AD:AD))),"")</f>
        <v/>
      </c>
      <c r="S136" s="6"/>
      <c r="T136" s="232"/>
      <c r="U136" s="233" t="str">
        <f t="shared" si="12"/>
        <v/>
      </c>
      <c r="V136" s="233"/>
      <c r="W136" s="234" t="str">
        <f t="shared" si="10"/>
        <v/>
      </c>
      <c r="X136" s="227" t="str">
        <f>IFERROR(_xlfn.XLOOKUP($A136,'Raw Data'!$A:$A,'Raw Data'!$BA:$BA),"")</f>
        <v/>
      </c>
      <c r="Y136" s="227" t="str">
        <f>IFERROR(_xlfn.XLOOKUP($A136,'Raw Data'!$A:$A,'Raw Data'!BJ:BJ),"")</f>
        <v/>
      </c>
      <c r="Z136" s="227" t="str">
        <f>IFERROR(_xlfn.XLOOKUP($A136,'Raw Data'!$A:$A,'Raw Data'!BK:BK),"")</f>
        <v/>
      </c>
      <c r="AA136" s="227" t="str">
        <f>IFERROR(_xlfn.XLOOKUP($A136,'Raw Data'!$A:$A,'Raw Data'!BL:BL),"")</f>
        <v/>
      </c>
      <c r="AB136" s="227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27">
        <f>IFERROR(_xlfn.XLOOKUP($D136,'Modelling New'!$D:$D,'Modelling New'!$T:$T)*1000,"")</f>
        <v>78067.213188687994</v>
      </c>
      <c r="AE136" s="234">
        <f>IFERROR(_xlfn.XLOOKUP($D136,'Modelling New'!$D:$D,'Modelling New'!$O:$O),"")</f>
        <v>0.76954570740685357</v>
      </c>
      <c r="AF136" s="234">
        <f>IFERROR(_xlfn.XLOOKUP($D136,'Modelling New'!$D:$D,'Modelling New'!$W:$W),"")</f>
        <v>0.13384303029361139</v>
      </c>
      <c r="AG136" s="234">
        <f>IFERROR(_xlfn.XLOOKUP($D136,'Modelling New'!$D:$D,'Modelling New'!AE:AE),"")</f>
        <v>0.995</v>
      </c>
      <c r="AH136" s="234">
        <v>0.99750000000000005</v>
      </c>
      <c r="AI136" s="6"/>
      <c r="AJ136" s="6"/>
      <c r="AK136" s="6"/>
      <c r="AL136" s="6"/>
      <c r="AM136" s="6"/>
      <c r="AN136" s="231"/>
      <c r="AO136" s="234"/>
      <c r="AP136" s="234"/>
      <c r="AQ136" s="234"/>
      <c r="AR136" s="227">
        <f>IFERROR(_xlfn.XLOOKUP($D136,'Modelling New'!$D:$D,'Modelling New'!$N:$N),"")</f>
        <v>24.303100000000001</v>
      </c>
      <c r="AS136" s="227"/>
    </row>
    <row r="137" spans="1:45" x14ac:dyDescent="0.35">
      <c r="A137" s="226">
        <f t="shared" si="9"/>
        <v>45880</v>
      </c>
      <c r="B137" s="227">
        <f>YEAR(Daily_KPI[[#This Row],[Date]])+IF(MONTH(Daily_KPI[[#This Row],[Date]])&gt;=4,1,0)</f>
        <v>2026</v>
      </c>
      <c r="C137" s="6">
        <f>YEAR(Daily_KPI[[#This Row],[Date]])</f>
        <v>2025</v>
      </c>
      <c r="D137" s="228">
        <f>Daily_KPI[[#This Row],[Date]]-DAY(Daily_KPI[[#This Row],[Date]])+1</f>
        <v>45870</v>
      </c>
      <c r="E137" s="6">
        <f t="shared" si="11"/>
        <v>31</v>
      </c>
      <c r="F137" s="229" t="str">
        <f>IFERROR(_xlfn.XLOOKUP($A137,'Raw Data'!$A:$A,'Raw Data'!$BR:$BR),"")</f>
        <v/>
      </c>
      <c r="G137" s="230" t="str">
        <f>IFERROR(_xlfn.XLOOKUP($A137,'Raw Data'!$A:$A,'Raw Data'!$AO:$AO),"")</f>
        <v/>
      </c>
      <c r="H137" s="230"/>
      <c r="I137" s="230" t="str">
        <f>IFERROR(_xlfn.XLOOKUP($A137,'Raw Data'!$A:$A,'Raw Data'!$AR:$AR),"")</f>
        <v/>
      </c>
      <c r="J137" s="230"/>
      <c r="K137" s="230" t="str">
        <f>IFERROR(_xlfn.XLOOKUP($A137,'Raw Data'!$A:$A,'Raw Data'!$AV:$AV),"")</f>
        <v/>
      </c>
      <c r="L137" s="230" t="str">
        <f>IFERROR(_xlfn.XLOOKUP($A137,'Raw Data'!$A:$A,'Raw Data'!$AW:$AW),"")</f>
        <v/>
      </c>
      <c r="M137" s="230" t="str">
        <f>IFERROR(_xlfn.XLOOKUP($A137,'Raw Data'!$A:$A,'Raw Data'!$AX:$AX),"")</f>
        <v/>
      </c>
      <c r="N137" s="230" t="str">
        <f>IFERROR(_xlfn.XLOOKUP($A137,'Raw Data'!$A:$A,'Raw Data'!$AY:$AY),"")</f>
        <v/>
      </c>
      <c r="O137" s="231" t="str">
        <f>IFERROR(1-(SUMIF('Plant BD'!$B:$B,A137,'Plant BD'!$AE:$AE)/(AA137+SUMIF('Plant BD'!$B:$B,A137,'Plant BD'!$AE:$AE))),"")</f>
        <v/>
      </c>
      <c r="P137" s="231"/>
      <c r="Q137" s="232"/>
      <c r="R137" s="231" t="str">
        <f>IFERROR(1-(SUMIF('Grid BD'!$B:$B,$A137,'Grid BD'!$AD:$AD)/($AA137+SUMIF('Grid BD'!$B:$B,$A137,'Grid BD'!AD:AD))),"")</f>
        <v/>
      </c>
      <c r="S137" s="6"/>
      <c r="T137" s="232"/>
      <c r="U137" s="233" t="str">
        <f t="shared" si="12"/>
        <v/>
      </c>
      <c r="V137" s="233"/>
      <c r="W137" s="234" t="str">
        <f t="shared" si="10"/>
        <v/>
      </c>
      <c r="X137" s="227" t="str">
        <f>IFERROR(_xlfn.XLOOKUP($A137,'Raw Data'!$A:$A,'Raw Data'!$BA:$BA),"")</f>
        <v/>
      </c>
      <c r="Y137" s="227" t="str">
        <f>IFERROR(_xlfn.XLOOKUP($A137,'Raw Data'!$A:$A,'Raw Data'!BJ:BJ),"")</f>
        <v/>
      </c>
      <c r="Z137" s="227" t="str">
        <f>IFERROR(_xlfn.XLOOKUP($A137,'Raw Data'!$A:$A,'Raw Data'!BK:BK),"")</f>
        <v/>
      </c>
      <c r="AA137" s="227" t="str">
        <f>IFERROR(_xlfn.XLOOKUP($A137,'Raw Data'!$A:$A,'Raw Data'!BL:BL),"")</f>
        <v/>
      </c>
      <c r="AB137" s="227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27">
        <f>IFERROR(_xlfn.XLOOKUP($D137,'Modelling New'!$D:$D,'Modelling New'!$T:$T)*1000,"")</f>
        <v>78067.213188687994</v>
      </c>
      <c r="AE137" s="234">
        <f>IFERROR(_xlfn.XLOOKUP($D137,'Modelling New'!$D:$D,'Modelling New'!$O:$O),"")</f>
        <v>0.76954570740685357</v>
      </c>
      <c r="AF137" s="234">
        <f>IFERROR(_xlfn.XLOOKUP($D137,'Modelling New'!$D:$D,'Modelling New'!$W:$W),"")</f>
        <v>0.13384303029361139</v>
      </c>
      <c r="AG137" s="234">
        <f>IFERROR(_xlfn.XLOOKUP($D137,'Modelling New'!$D:$D,'Modelling New'!AE:AE),"")</f>
        <v>0.995</v>
      </c>
      <c r="AH137" s="234">
        <v>0.99750000000000005</v>
      </c>
      <c r="AI137" s="6"/>
      <c r="AJ137" s="6"/>
      <c r="AK137" s="6"/>
      <c r="AL137" s="6"/>
      <c r="AM137" s="6"/>
      <c r="AN137" s="231"/>
      <c r="AO137" s="234"/>
      <c r="AP137" s="234"/>
      <c r="AQ137" s="234"/>
      <c r="AR137" s="227">
        <f>IFERROR(_xlfn.XLOOKUP($D137,'Modelling New'!$D:$D,'Modelling New'!$N:$N),"")</f>
        <v>24.303100000000001</v>
      </c>
      <c r="AS137" s="227"/>
    </row>
    <row r="138" spans="1:45" x14ac:dyDescent="0.35">
      <c r="A138" s="226">
        <f t="shared" si="9"/>
        <v>45881</v>
      </c>
      <c r="B138" s="227">
        <f>YEAR(Daily_KPI[[#This Row],[Date]])+IF(MONTH(Daily_KPI[[#This Row],[Date]])&gt;=4,1,0)</f>
        <v>2026</v>
      </c>
      <c r="C138" s="6">
        <f>YEAR(Daily_KPI[[#This Row],[Date]])</f>
        <v>2025</v>
      </c>
      <c r="D138" s="228">
        <f>Daily_KPI[[#This Row],[Date]]-DAY(Daily_KPI[[#This Row],[Date]])+1</f>
        <v>45870</v>
      </c>
      <c r="E138" s="6">
        <f t="shared" si="11"/>
        <v>31</v>
      </c>
      <c r="F138" s="229" t="str">
        <f>IFERROR(_xlfn.XLOOKUP($A138,'Raw Data'!$A:$A,'Raw Data'!$BR:$BR),"")</f>
        <v/>
      </c>
      <c r="G138" s="230" t="str">
        <f>IFERROR(_xlfn.XLOOKUP($A138,'Raw Data'!$A:$A,'Raw Data'!$AO:$AO),"")</f>
        <v/>
      </c>
      <c r="H138" s="230"/>
      <c r="I138" s="230" t="str">
        <f>IFERROR(_xlfn.XLOOKUP($A138,'Raw Data'!$A:$A,'Raw Data'!$AR:$AR),"")</f>
        <v/>
      </c>
      <c r="J138" s="230"/>
      <c r="K138" s="230" t="str">
        <f>IFERROR(_xlfn.XLOOKUP($A138,'Raw Data'!$A:$A,'Raw Data'!$AV:$AV),"")</f>
        <v/>
      </c>
      <c r="L138" s="230" t="str">
        <f>IFERROR(_xlfn.XLOOKUP($A138,'Raw Data'!$A:$A,'Raw Data'!$AW:$AW),"")</f>
        <v/>
      </c>
      <c r="M138" s="230" t="str">
        <f>IFERROR(_xlfn.XLOOKUP($A138,'Raw Data'!$A:$A,'Raw Data'!$AX:$AX),"")</f>
        <v/>
      </c>
      <c r="N138" s="230" t="str">
        <f>IFERROR(_xlfn.XLOOKUP($A138,'Raw Data'!$A:$A,'Raw Data'!$AY:$AY),"")</f>
        <v/>
      </c>
      <c r="O138" s="231" t="str">
        <f>IFERROR(1-(SUMIF('Plant BD'!$B:$B,A138,'Plant BD'!$AE:$AE)/(AA138+SUMIF('Plant BD'!$B:$B,A138,'Plant BD'!$AE:$AE))),"")</f>
        <v/>
      </c>
      <c r="P138" s="231"/>
      <c r="Q138" s="232"/>
      <c r="R138" s="231" t="str">
        <f>IFERROR(1-(SUMIF('Grid BD'!$B:$B,$A138,'Grid BD'!$AD:$AD)/($AA138+SUMIF('Grid BD'!$B:$B,$A138,'Grid BD'!AD:AD))),"")</f>
        <v/>
      </c>
      <c r="S138" s="6"/>
      <c r="T138" s="232"/>
      <c r="U138" s="233" t="str">
        <f t="shared" si="12"/>
        <v/>
      </c>
      <c r="V138" s="233"/>
      <c r="W138" s="234" t="str">
        <f t="shared" si="10"/>
        <v/>
      </c>
      <c r="X138" s="227" t="str">
        <f>IFERROR(_xlfn.XLOOKUP($A138,'Raw Data'!$A:$A,'Raw Data'!$BA:$BA),"")</f>
        <v/>
      </c>
      <c r="Y138" s="227" t="str">
        <f>IFERROR(_xlfn.XLOOKUP($A138,'Raw Data'!$A:$A,'Raw Data'!BJ:BJ),"")</f>
        <v/>
      </c>
      <c r="Z138" s="227" t="str">
        <f>IFERROR(_xlfn.XLOOKUP($A138,'Raw Data'!$A:$A,'Raw Data'!BK:BK),"")</f>
        <v/>
      </c>
      <c r="AA138" s="227" t="str">
        <f>IFERROR(_xlfn.XLOOKUP($A138,'Raw Data'!$A:$A,'Raw Data'!BL:BL),"")</f>
        <v/>
      </c>
      <c r="AB138" s="227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27">
        <f>IFERROR(_xlfn.XLOOKUP($D138,'Modelling New'!$D:$D,'Modelling New'!$T:$T)*1000,"")</f>
        <v>78067.213188687994</v>
      </c>
      <c r="AE138" s="234">
        <f>IFERROR(_xlfn.XLOOKUP($D138,'Modelling New'!$D:$D,'Modelling New'!$O:$O),"")</f>
        <v>0.76954570740685357</v>
      </c>
      <c r="AF138" s="234">
        <f>IFERROR(_xlfn.XLOOKUP($D138,'Modelling New'!$D:$D,'Modelling New'!$W:$W),"")</f>
        <v>0.13384303029361139</v>
      </c>
      <c r="AG138" s="234">
        <f>IFERROR(_xlfn.XLOOKUP($D138,'Modelling New'!$D:$D,'Modelling New'!AE:AE),"")</f>
        <v>0.995</v>
      </c>
      <c r="AH138" s="234">
        <v>0.99750000000000005</v>
      </c>
      <c r="AI138" s="6"/>
      <c r="AJ138" s="6"/>
      <c r="AK138" s="6"/>
      <c r="AL138" s="6"/>
      <c r="AM138" s="6"/>
      <c r="AN138" s="231"/>
      <c r="AO138" s="234"/>
      <c r="AP138" s="234"/>
      <c r="AQ138" s="234"/>
      <c r="AR138" s="227">
        <f>IFERROR(_xlfn.XLOOKUP($D138,'Modelling New'!$D:$D,'Modelling New'!$N:$N),"")</f>
        <v>24.303100000000001</v>
      </c>
      <c r="AS138" s="227"/>
    </row>
    <row r="139" spans="1:45" x14ac:dyDescent="0.35">
      <c r="A139" s="226">
        <f t="shared" si="9"/>
        <v>45882</v>
      </c>
      <c r="B139" s="227">
        <f>YEAR(Daily_KPI[[#This Row],[Date]])+IF(MONTH(Daily_KPI[[#This Row],[Date]])&gt;=4,1,0)</f>
        <v>2026</v>
      </c>
      <c r="C139" s="6">
        <f>YEAR(Daily_KPI[[#This Row],[Date]])</f>
        <v>2025</v>
      </c>
      <c r="D139" s="228">
        <f>Daily_KPI[[#This Row],[Date]]-DAY(Daily_KPI[[#This Row],[Date]])+1</f>
        <v>45870</v>
      </c>
      <c r="E139" s="6">
        <f t="shared" si="11"/>
        <v>31</v>
      </c>
      <c r="F139" s="229" t="str">
        <f>IFERROR(_xlfn.XLOOKUP($A139,'Raw Data'!$A:$A,'Raw Data'!$BR:$BR),"")</f>
        <v/>
      </c>
      <c r="G139" s="230" t="str">
        <f>IFERROR(_xlfn.XLOOKUP($A139,'Raw Data'!$A:$A,'Raw Data'!$AO:$AO),"")</f>
        <v/>
      </c>
      <c r="H139" s="230"/>
      <c r="I139" s="230" t="str">
        <f>IFERROR(_xlfn.XLOOKUP($A139,'Raw Data'!$A:$A,'Raw Data'!$AR:$AR),"")</f>
        <v/>
      </c>
      <c r="J139" s="230"/>
      <c r="K139" s="230" t="str">
        <f>IFERROR(_xlfn.XLOOKUP($A139,'Raw Data'!$A:$A,'Raw Data'!$AV:$AV),"")</f>
        <v/>
      </c>
      <c r="L139" s="230" t="str">
        <f>IFERROR(_xlfn.XLOOKUP($A139,'Raw Data'!$A:$A,'Raw Data'!$AW:$AW),"")</f>
        <v/>
      </c>
      <c r="M139" s="230" t="str">
        <f>IFERROR(_xlfn.XLOOKUP($A139,'Raw Data'!$A:$A,'Raw Data'!$AX:$AX),"")</f>
        <v/>
      </c>
      <c r="N139" s="230" t="str">
        <f>IFERROR(_xlfn.XLOOKUP($A139,'Raw Data'!$A:$A,'Raw Data'!$AY:$AY),"")</f>
        <v/>
      </c>
      <c r="O139" s="231" t="str">
        <f>IFERROR(1-(SUMIF('Plant BD'!$B:$B,A139,'Plant BD'!$AE:$AE)/(AA139+SUMIF('Plant BD'!$B:$B,A139,'Plant BD'!$AE:$AE))),"")</f>
        <v/>
      </c>
      <c r="P139" s="231"/>
      <c r="Q139" s="232"/>
      <c r="R139" s="231" t="str">
        <f>IFERROR(1-(SUMIF('Grid BD'!$B:$B,$A139,'Grid BD'!$AD:$AD)/($AA139+SUMIF('Grid BD'!$B:$B,$A139,'Grid BD'!AD:AD))),"")</f>
        <v/>
      </c>
      <c r="S139" s="6"/>
      <c r="T139" s="232"/>
      <c r="U139" s="233" t="str">
        <f t="shared" si="12"/>
        <v/>
      </c>
      <c r="V139" s="233"/>
      <c r="W139" s="234" t="str">
        <f t="shared" si="10"/>
        <v/>
      </c>
      <c r="X139" s="227" t="str">
        <f>IFERROR(_xlfn.XLOOKUP($A139,'Raw Data'!$A:$A,'Raw Data'!$BA:$BA),"")</f>
        <v/>
      </c>
      <c r="Y139" s="227" t="str">
        <f>IFERROR(_xlfn.XLOOKUP($A139,'Raw Data'!$A:$A,'Raw Data'!BJ:BJ),"")</f>
        <v/>
      </c>
      <c r="Z139" s="227" t="str">
        <f>IFERROR(_xlfn.XLOOKUP($A139,'Raw Data'!$A:$A,'Raw Data'!BK:BK),"")</f>
        <v/>
      </c>
      <c r="AA139" s="227" t="str">
        <f>IFERROR(_xlfn.XLOOKUP($A139,'Raw Data'!$A:$A,'Raw Data'!BL:BL),"")</f>
        <v/>
      </c>
      <c r="AB139" s="227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27">
        <f>IFERROR(_xlfn.XLOOKUP($D139,'Modelling New'!$D:$D,'Modelling New'!$T:$T)*1000,"")</f>
        <v>78067.213188687994</v>
      </c>
      <c r="AE139" s="234">
        <f>IFERROR(_xlfn.XLOOKUP($D139,'Modelling New'!$D:$D,'Modelling New'!$O:$O),"")</f>
        <v>0.76954570740685357</v>
      </c>
      <c r="AF139" s="234">
        <f>IFERROR(_xlfn.XLOOKUP($D139,'Modelling New'!$D:$D,'Modelling New'!$W:$W),"")</f>
        <v>0.13384303029361139</v>
      </c>
      <c r="AG139" s="234">
        <f>IFERROR(_xlfn.XLOOKUP($D139,'Modelling New'!$D:$D,'Modelling New'!AE:AE),"")</f>
        <v>0.995</v>
      </c>
      <c r="AH139" s="234">
        <v>0.99750000000000005</v>
      </c>
      <c r="AI139" s="6"/>
      <c r="AJ139" s="6"/>
      <c r="AK139" s="6"/>
      <c r="AL139" s="6"/>
      <c r="AM139" s="6"/>
      <c r="AN139" s="231"/>
      <c r="AO139" s="234"/>
      <c r="AP139" s="234"/>
      <c r="AQ139" s="234"/>
      <c r="AR139" s="227">
        <f>IFERROR(_xlfn.XLOOKUP($D139,'Modelling New'!$D:$D,'Modelling New'!$N:$N),"")</f>
        <v>24.303100000000001</v>
      </c>
      <c r="AS139" s="227"/>
    </row>
    <row r="140" spans="1:45" x14ac:dyDescent="0.35">
      <c r="A140" s="226">
        <f t="shared" si="9"/>
        <v>45883</v>
      </c>
      <c r="B140" s="227">
        <f>YEAR(Daily_KPI[[#This Row],[Date]])+IF(MONTH(Daily_KPI[[#This Row],[Date]])&gt;=4,1,0)</f>
        <v>2026</v>
      </c>
      <c r="C140" s="6">
        <f>YEAR(Daily_KPI[[#This Row],[Date]])</f>
        <v>2025</v>
      </c>
      <c r="D140" s="228">
        <f>Daily_KPI[[#This Row],[Date]]-DAY(Daily_KPI[[#This Row],[Date]])+1</f>
        <v>45870</v>
      </c>
      <c r="E140" s="6">
        <f t="shared" si="11"/>
        <v>31</v>
      </c>
      <c r="F140" s="229" t="str">
        <f>IFERROR(_xlfn.XLOOKUP($A140,'Raw Data'!$A:$A,'Raw Data'!$BR:$BR),"")</f>
        <v/>
      </c>
      <c r="G140" s="230" t="str">
        <f>IFERROR(_xlfn.XLOOKUP($A140,'Raw Data'!$A:$A,'Raw Data'!$AO:$AO),"")</f>
        <v/>
      </c>
      <c r="H140" s="230"/>
      <c r="I140" s="230" t="str">
        <f>IFERROR(_xlfn.XLOOKUP($A140,'Raw Data'!$A:$A,'Raw Data'!$AR:$AR),"")</f>
        <v/>
      </c>
      <c r="J140" s="230"/>
      <c r="K140" s="230" t="str">
        <f>IFERROR(_xlfn.XLOOKUP($A140,'Raw Data'!$A:$A,'Raw Data'!$AV:$AV),"")</f>
        <v/>
      </c>
      <c r="L140" s="230" t="str">
        <f>IFERROR(_xlfn.XLOOKUP($A140,'Raw Data'!$A:$A,'Raw Data'!$AW:$AW),"")</f>
        <v/>
      </c>
      <c r="M140" s="230" t="str">
        <f>IFERROR(_xlfn.XLOOKUP($A140,'Raw Data'!$A:$A,'Raw Data'!$AX:$AX),"")</f>
        <v/>
      </c>
      <c r="N140" s="230" t="str">
        <f>IFERROR(_xlfn.XLOOKUP($A140,'Raw Data'!$A:$A,'Raw Data'!$AY:$AY),"")</f>
        <v/>
      </c>
      <c r="O140" s="231" t="str">
        <f>IFERROR(1-(SUMIF('Plant BD'!$B:$B,A140,'Plant BD'!$AE:$AE)/(AA140+SUMIF('Plant BD'!$B:$B,A140,'Plant BD'!$AE:$AE))),"")</f>
        <v/>
      </c>
      <c r="P140" s="231"/>
      <c r="Q140" s="232"/>
      <c r="R140" s="231" t="str">
        <f>IFERROR(1-(SUMIF('Grid BD'!$B:$B,$A140,'Grid BD'!$AD:$AD)/($AA140+SUMIF('Grid BD'!$B:$B,$A140,'Grid BD'!AD:AD))),"")</f>
        <v/>
      </c>
      <c r="S140" s="6"/>
      <c r="T140" s="232"/>
      <c r="U140" s="233" t="str">
        <f t="shared" si="12"/>
        <v/>
      </c>
      <c r="V140" s="233"/>
      <c r="W140" s="234" t="str">
        <f t="shared" si="10"/>
        <v/>
      </c>
      <c r="X140" s="227" t="str">
        <f>IFERROR(_xlfn.XLOOKUP($A140,'Raw Data'!$A:$A,'Raw Data'!$BA:$BA),"")</f>
        <v/>
      </c>
      <c r="Y140" s="227" t="str">
        <f>IFERROR(_xlfn.XLOOKUP($A140,'Raw Data'!$A:$A,'Raw Data'!BJ:BJ),"")</f>
        <v/>
      </c>
      <c r="Z140" s="227" t="str">
        <f>IFERROR(_xlfn.XLOOKUP($A140,'Raw Data'!$A:$A,'Raw Data'!BK:BK),"")</f>
        <v/>
      </c>
      <c r="AA140" s="227" t="str">
        <f>IFERROR(_xlfn.XLOOKUP($A140,'Raw Data'!$A:$A,'Raw Data'!BL:BL),"")</f>
        <v/>
      </c>
      <c r="AB140" s="227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27">
        <f>IFERROR(_xlfn.XLOOKUP($D140,'Modelling New'!$D:$D,'Modelling New'!$T:$T)*1000,"")</f>
        <v>78067.213188687994</v>
      </c>
      <c r="AE140" s="234">
        <f>IFERROR(_xlfn.XLOOKUP($D140,'Modelling New'!$D:$D,'Modelling New'!$O:$O),"")</f>
        <v>0.76954570740685357</v>
      </c>
      <c r="AF140" s="234">
        <f>IFERROR(_xlfn.XLOOKUP($D140,'Modelling New'!$D:$D,'Modelling New'!$W:$W),"")</f>
        <v>0.13384303029361139</v>
      </c>
      <c r="AG140" s="234">
        <f>IFERROR(_xlfn.XLOOKUP($D140,'Modelling New'!$D:$D,'Modelling New'!AE:AE),"")</f>
        <v>0.995</v>
      </c>
      <c r="AH140" s="234">
        <v>0.99750000000000005</v>
      </c>
      <c r="AI140" s="6"/>
      <c r="AJ140" s="6"/>
      <c r="AK140" s="6"/>
      <c r="AL140" s="6"/>
      <c r="AM140" s="6"/>
      <c r="AN140" s="231"/>
      <c r="AO140" s="234"/>
      <c r="AP140" s="234"/>
      <c r="AQ140" s="234"/>
      <c r="AR140" s="227">
        <f>IFERROR(_xlfn.XLOOKUP($D140,'Modelling New'!$D:$D,'Modelling New'!$N:$N),"")</f>
        <v>24.303100000000001</v>
      </c>
      <c r="AS140" s="227"/>
    </row>
    <row r="141" spans="1:45" x14ac:dyDescent="0.35">
      <c r="A141" s="226">
        <f t="shared" si="9"/>
        <v>45884</v>
      </c>
      <c r="B141" s="227">
        <f>YEAR(Daily_KPI[[#This Row],[Date]])+IF(MONTH(Daily_KPI[[#This Row],[Date]])&gt;=4,1,0)</f>
        <v>2026</v>
      </c>
      <c r="C141" s="6">
        <f>YEAR(Daily_KPI[[#This Row],[Date]])</f>
        <v>2025</v>
      </c>
      <c r="D141" s="228">
        <f>Daily_KPI[[#This Row],[Date]]-DAY(Daily_KPI[[#This Row],[Date]])+1</f>
        <v>45870</v>
      </c>
      <c r="E141" s="6">
        <f t="shared" si="11"/>
        <v>31</v>
      </c>
      <c r="F141" s="229" t="str">
        <f>IFERROR(_xlfn.XLOOKUP($A141,'Raw Data'!$A:$A,'Raw Data'!$BR:$BR),"")</f>
        <v/>
      </c>
      <c r="G141" s="230" t="str">
        <f>IFERROR(_xlfn.XLOOKUP($A141,'Raw Data'!$A:$A,'Raw Data'!$AO:$AO),"")</f>
        <v/>
      </c>
      <c r="H141" s="230"/>
      <c r="I141" s="230" t="str">
        <f>IFERROR(_xlfn.XLOOKUP($A141,'Raw Data'!$A:$A,'Raw Data'!$AR:$AR),"")</f>
        <v/>
      </c>
      <c r="J141" s="230"/>
      <c r="K141" s="230" t="str">
        <f>IFERROR(_xlfn.XLOOKUP($A141,'Raw Data'!$A:$A,'Raw Data'!$AV:$AV),"")</f>
        <v/>
      </c>
      <c r="L141" s="230" t="str">
        <f>IFERROR(_xlfn.XLOOKUP($A141,'Raw Data'!$A:$A,'Raw Data'!$AW:$AW),"")</f>
        <v/>
      </c>
      <c r="M141" s="230" t="str">
        <f>IFERROR(_xlfn.XLOOKUP($A141,'Raw Data'!$A:$A,'Raw Data'!$AX:$AX),"")</f>
        <v/>
      </c>
      <c r="N141" s="230" t="str">
        <f>IFERROR(_xlfn.XLOOKUP($A141,'Raw Data'!$A:$A,'Raw Data'!$AY:$AY),"")</f>
        <v/>
      </c>
      <c r="O141" s="231" t="str">
        <f>IFERROR(1-(SUMIF('Plant BD'!$B:$B,A141,'Plant BD'!$AE:$AE)/(AA141+SUMIF('Plant BD'!$B:$B,A141,'Plant BD'!$AE:$AE))),"")</f>
        <v/>
      </c>
      <c r="P141" s="231"/>
      <c r="Q141" s="232"/>
      <c r="R141" s="231" t="str">
        <f>IFERROR(1-(SUMIF('Grid BD'!$B:$B,$A141,'Grid BD'!$AD:$AD)/($AA141+SUMIF('Grid BD'!$B:$B,$A141,'Grid BD'!AD:AD))),"")</f>
        <v/>
      </c>
      <c r="S141" s="6"/>
      <c r="T141" s="232"/>
      <c r="U141" s="233" t="str">
        <f t="shared" si="12"/>
        <v/>
      </c>
      <c r="V141" s="233"/>
      <c r="W141" s="234" t="str">
        <f t="shared" si="10"/>
        <v/>
      </c>
      <c r="X141" s="227" t="str">
        <f>IFERROR(_xlfn.XLOOKUP($A141,'Raw Data'!$A:$A,'Raw Data'!$BA:$BA),"")</f>
        <v/>
      </c>
      <c r="Y141" s="227" t="str">
        <f>IFERROR(_xlfn.XLOOKUP($A141,'Raw Data'!$A:$A,'Raw Data'!BJ:BJ),"")</f>
        <v/>
      </c>
      <c r="Z141" s="227" t="str">
        <f>IFERROR(_xlfn.XLOOKUP($A141,'Raw Data'!$A:$A,'Raw Data'!BK:BK),"")</f>
        <v/>
      </c>
      <c r="AA141" s="227" t="str">
        <f>IFERROR(_xlfn.XLOOKUP($A141,'Raw Data'!$A:$A,'Raw Data'!BL:BL),"")</f>
        <v/>
      </c>
      <c r="AB141" s="227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27">
        <f>IFERROR(_xlfn.XLOOKUP($D141,'Modelling New'!$D:$D,'Modelling New'!$T:$T)*1000,"")</f>
        <v>78067.213188687994</v>
      </c>
      <c r="AE141" s="234">
        <f>IFERROR(_xlfn.XLOOKUP($D141,'Modelling New'!$D:$D,'Modelling New'!$O:$O),"")</f>
        <v>0.76954570740685357</v>
      </c>
      <c r="AF141" s="234">
        <f>IFERROR(_xlfn.XLOOKUP($D141,'Modelling New'!$D:$D,'Modelling New'!$W:$W),"")</f>
        <v>0.13384303029361139</v>
      </c>
      <c r="AG141" s="234">
        <f>IFERROR(_xlfn.XLOOKUP($D141,'Modelling New'!$D:$D,'Modelling New'!AE:AE),"")</f>
        <v>0.995</v>
      </c>
      <c r="AH141" s="234">
        <v>0.99750000000000005</v>
      </c>
      <c r="AI141" s="6"/>
      <c r="AJ141" s="6"/>
      <c r="AK141" s="6"/>
      <c r="AL141" s="6"/>
      <c r="AM141" s="6"/>
      <c r="AN141" s="231"/>
      <c r="AO141" s="234"/>
      <c r="AP141" s="234"/>
      <c r="AQ141" s="234"/>
      <c r="AR141" s="227">
        <f>IFERROR(_xlfn.XLOOKUP($D141,'Modelling New'!$D:$D,'Modelling New'!$N:$N),"")</f>
        <v>24.303100000000001</v>
      </c>
      <c r="AS141" s="227"/>
    </row>
    <row r="142" spans="1:45" x14ac:dyDescent="0.35">
      <c r="A142" s="226">
        <f t="shared" si="9"/>
        <v>45885</v>
      </c>
      <c r="B142" s="227">
        <f>YEAR(Daily_KPI[[#This Row],[Date]])+IF(MONTH(Daily_KPI[[#This Row],[Date]])&gt;=4,1,0)</f>
        <v>2026</v>
      </c>
      <c r="C142" s="6">
        <f>YEAR(Daily_KPI[[#This Row],[Date]])</f>
        <v>2025</v>
      </c>
      <c r="D142" s="228">
        <f>Daily_KPI[[#This Row],[Date]]-DAY(Daily_KPI[[#This Row],[Date]])+1</f>
        <v>45870</v>
      </c>
      <c r="E142" s="6">
        <f t="shared" si="11"/>
        <v>31</v>
      </c>
      <c r="F142" s="229" t="str">
        <f>IFERROR(_xlfn.XLOOKUP($A142,'Raw Data'!$A:$A,'Raw Data'!$BR:$BR),"")</f>
        <v/>
      </c>
      <c r="G142" s="230" t="str">
        <f>IFERROR(_xlfn.XLOOKUP($A142,'Raw Data'!$A:$A,'Raw Data'!$AO:$AO),"")</f>
        <v/>
      </c>
      <c r="H142" s="230"/>
      <c r="I142" s="230" t="str">
        <f>IFERROR(_xlfn.XLOOKUP($A142,'Raw Data'!$A:$A,'Raw Data'!$AR:$AR),"")</f>
        <v/>
      </c>
      <c r="J142" s="230"/>
      <c r="K142" s="230" t="str">
        <f>IFERROR(_xlfn.XLOOKUP($A142,'Raw Data'!$A:$A,'Raw Data'!$AV:$AV),"")</f>
        <v/>
      </c>
      <c r="L142" s="230" t="str">
        <f>IFERROR(_xlfn.XLOOKUP($A142,'Raw Data'!$A:$A,'Raw Data'!$AW:$AW),"")</f>
        <v/>
      </c>
      <c r="M142" s="230" t="str">
        <f>IFERROR(_xlfn.XLOOKUP($A142,'Raw Data'!$A:$A,'Raw Data'!$AX:$AX),"")</f>
        <v/>
      </c>
      <c r="N142" s="230" t="str">
        <f>IFERROR(_xlfn.XLOOKUP($A142,'Raw Data'!$A:$A,'Raw Data'!$AY:$AY),"")</f>
        <v/>
      </c>
      <c r="O142" s="231" t="str">
        <f>IFERROR(1-(SUMIF('Plant BD'!$B:$B,A142,'Plant BD'!$AE:$AE)/(AA142+SUMIF('Plant BD'!$B:$B,A142,'Plant BD'!$AE:$AE))),"")</f>
        <v/>
      </c>
      <c r="P142" s="231"/>
      <c r="Q142" s="232"/>
      <c r="R142" s="231" t="str">
        <f>IFERROR(1-(SUMIF('Grid BD'!$B:$B,$A142,'Grid BD'!$AD:$AD)/($AA142+SUMIF('Grid BD'!$B:$B,$A142,'Grid BD'!AD:AD))),"")</f>
        <v/>
      </c>
      <c r="S142" s="6"/>
      <c r="T142" s="232"/>
      <c r="U142" s="233" t="str">
        <f t="shared" si="12"/>
        <v/>
      </c>
      <c r="V142" s="233"/>
      <c r="W142" s="234" t="str">
        <f t="shared" si="10"/>
        <v/>
      </c>
      <c r="X142" s="227" t="str">
        <f>IFERROR(_xlfn.XLOOKUP($A142,'Raw Data'!$A:$A,'Raw Data'!$BA:$BA),"")</f>
        <v/>
      </c>
      <c r="Y142" s="227" t="str">
        <f>IFERROR(_xlfn.XLOOKUP($A142,'Raw Data'!$A:$A,'Raw Data'!BJ:BJ),"")</f>
        <v/>
      </c>
      <c r="Z142" s="227" t="str">
        <f>IFERROR(_xlfn.XLOOKUP($A142,'Raw Data'!$A:$A,'Raw Data'!BK:BK),"")</f>
        <v/>
      </c>
      <c r="AA142" s="227" t="str">
        <f>IFERROR(_xlfn.XLOOKUP($A142,'Raw Data'!$A:$A,'Raw Data'!BL:BL),"")</f>
        <v/>
      </c>
      <c r="AB142" s="227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27">
        <f>IFERROR(_xlfn.XLOOKUP($D142,'Modelling New'!$D:$D,'Modelling New'!$T:$T)*1000,"")</f>
        <v>78067.213188687994</v>
      </c>
      <c r="AE142" s="234">
        <f>IFERROR(_xlfn.XLOOKUP($D142,'Modelling New'!$D:$D,'Modelling New'!$O:$O),"")</f>
        <v>0.76954570740685357</v>
      </c>
      <c r="AF142" s="234">
        <f>IFERROR(_xlfn.XLOOKUP($D142,'Modelling New'!$D:$D,'Modelling New'!$W:$W),"")</f>
        <v>0.13384303029361139</v>
      </c>
      <c r="AG142" s="234">
        <f>IFERROR(_xlfn.XLOOKUP($D142,'Modelling New'!$D:$D,'Modelling New'!AE:AE),"")</f>
        <v>0.995</v>
      </c>
      <c r="AH142" s="234">
        <v>0.99750000000000005</v>
      </c>
      <c r="AI142" s="6"/>
      <c r="AJ142" s="6"/>
      <c r="AK142" s="6"/>
      <c r="AL142" s="6"/>
      <c r="AM142" s="6"/>
      <c r="AN142" s="231"/>
      <c r="AO142" s="234"/>
      <c r="AP142" s="234"/>
      <c r="AQ142" s="234"/>
      <c r="AR142" s="227">
        <f>IFERROR(_xlfn.XLOOKUP($D142,'Modelling New'!$D:$D,'Modelling New'!$N:$N),"")</f>
        <v>24.303100000000001</v>
      </c>
      <c r="AS142" s="227"/>
    </row>
    <row r="143" spans="1:45" x14ac:dyDescent="0.35">
      <c r="A143" s="226">
        <f t="shared" si="9"/>
        <v>45886</v>
      </c>
      <c r="B143" s="227">
        <f>YEAR(Daily_KPI[[#This Row],[Date]])+IF(MONTH(Daily_KPI[[#This Row],[Date]])&gt;=4,1,0)</f>
        <v>2026</v>
      </c>
      <c r="C143" s="6">
        <f>YEAR(Daily_KPI[[#This Row],[Date]])</f>
        <v>2025</v>
      </c>
      <c r="D143" s="228">
        <f>Daily_KPI[[#This Row],[Date]]-DAY(Daily_KPI[[#This Row],[Date]])+1</f>
        <v>45870</v>
      </c>
      <c r="E143" s="6">
        <f t="shared" si="11"/>
        <v>31</v>
      </c>
      <c r="F143" s="229" t="str">
        <f>IFERROR(_xlfn.XLOOKUP($A143,'Raw Data'!$A:$A,'Raw Data'!$BR:$BR),"")</f>
        <v/>
      </c>
      <c r="G143" s="230" t="str">
        <f>IFERROR(_xlfn.XLOOKUP($A143,'Raw Data'!$A:$A,'Raw Data'!$AO:$AO),"")</f>
        <v/>
      </c>
      <c r="H143" s="230"/>
      <c r="I143" s="230" t="str">
        <f>IFERROR(_xlfn.XLOOKUP($A143,'Raw Data'!$A:$A,'Raw Data'!$AR:$AR),"")</f>
        <v/>
      </c>
      <c r="J143" s="230"/>
      <c r="K143" s="230" t="str">
        <f>IFERROR(_xlfn.XLOOKUP($A143,'Raw Data'!$A:$A,'Raw Data'!$AV:$AV),"")</f>
        <v/>
      </c>
      <c r="L143" s="230" t="str">
        <f>IFERROR(_xlfn.XLOOKUP($A143,'Raw Data'!$A:$A,'Raw Data'!$AW:$AW),"")</f>
        <v/>
      </c>
      <c r="M143" s="230" t="str">
        <f>IFERROR(_xlfn.XLOOKUP($A143,'Raw Data'!$A:$A,'Raw Data'!$AX:$AX),"")</f>
        <v/>
      </c>
      <c r="N143" s="230" t="str">
        <f>IFERROR(_xlfn.XLOOKUP($A143,'Raw Data'!$A:$A,'Raw Data'!$AY:$AY),"")</f>
        <v/>
      </c>
      <c r="O143" s="231" t="str">
        <f>IFERROR(1-(SUMIF('Plant BD'!$B:$B,A143,'Plant BD'!$AE:$AE)/(AA143+SUMIF('Plant BD'!$B:$B,A143,'Plant BD'!$AE:$AE))),"")</f>
        <v/>
      </c>
      <c r="P143" s="231"/>
      <c r="Q143" s="232"/>
      <c r="R143" s="231" t="str">
        <f>IFERROR(1-(SUMIF('Grid BD'!$B:$B,$A143,'Grid BD'!$AD:$AD)/($AA143+SUMIF('Grid BD'!$B:$B,$A143,'Grid BD'!AD:AD))),"")</f>
        <v/>
      </c>
      <c r="S143" s="6"/>
      <c r="T143" s="232"/>
      <c r="U143" s="233" t="str">
        <f t="shared" si="12"/>
        <v/>
      </c>
      <c r="V143" s="233"/>
      <c r="W143" s="234" t="str">
        <f t="shared" si="10"/>
        <v/>
      </c>
      <c r="X143" s="227" t="str">
        <f>IFERROR(_xlfn.XLOOKUP($A143,'Raw Data'!$A:$A,'Raw Data'!$BA:$BA),"")</f>
        <v/>
      </c>
      <c r="Y143" s="227" t="str">
        <f>IFERROR(_xlfn.XLOOKUP($A143,'Raw Data'!$A:$A,'Raw Data'!BJ:BJ),"")</f>
        <v/>
      </c>
      <c r="Z143" s="227" t="str">
        <f>IFERROR(_xlfn.XLOOKUP($A143,'Raw Data'!$A:$A,'Raw Data'!BK:BK),"")</f>
        <v/>
      </c>
      <c r="AA143" s="227" t="str">
        <f>IFERROR(_xlfn.XLOOKUP($A143,'Raw Data'!$A:$A,'Raw Data'!BL:BL),"")</f>
        <v/>
      </c>
      <c r="AB143" s="227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27">
        <f>IFERROR(_xlfn.XLOOKUP($D143,'Modelling New'!$D:$D,'Modelling New'!$T:$T)*1000,"")</f>
        <v>78067.213188687994</v>
      </c>
      <c r="AE143" s="234">
        <f>IFERROR(_xlfn.XLOOKUP($D143,'Modelling New'!$D:$D,'Modelling New'!$O:$O),"")</f>
        <v>0.76954570740685357</v>
      </c>
      <c r="AF143" s="234">
        <f>IFERROR(_xlfn.XLOOKUP($D143,'Modelling New'!$D:$D,'Modelling New'!$W:$W),"")</f>
        <v>0.13384303029361139</v>
      </c>
      <c r="AG143" s="234">
        <f>IFERROR(_xlfn.XLOOKUP($D143,'Modelling New'!$D:$D,'Modelling New'!AE:AE),"")</f>
        <v>0.995</v>
      </c>
      <c r="AH143" s="234">
        <v>0.99750000000000005</v>
      </c>
      <c r="AI143" s="6"/>
      <c r="AJ143" s="6"/>
      <c r="AK143" s="6"/>
      <c r="AL143" s="6"/>
      <c r="AM143" s="6"/>
      <c r="AN143" s="231"/>
      <c r="AO143" s="234"/>
      <c r="AP143" s="234"/>
      <c r="AQ143" s="234"/>
      <c r="AR143" s="227">
        <f>IFERROR(_xlfn.XLOOKUP($D143,'Modelling New'!$D:$D,'Modelling New'!$N:$N),"")</f>
        <v>24.303100000000001</v>
      </c>
      <c r="AS143" s="227"/>
    </row>
    <row r="144" spans="1:45" x14ac:dyDescent="0.35">
      <c r="A144" s="226">
        <f t="shared" si="9"/>
        <v>45887</v>
      </c>
      <c r="B144" s="227">
        <f>YEAR(Daily_KPI[[#This Row],[Date]])+IF(MONTH(Daily_KPI[[#This Row],[Date]])&gt;=4,1,0)</f>
        <v>2026</v>
      </c>
      <c r="C144" s="6">
        <f>YEAR(Daily_KPI[[#This Row],[Date]])</f>
        <v>2025</v>
      </c>
      <c r="D144" s="228">
        <f>Daily_KPI[[#This Row],[Date]]-DAY(Daily_KPI[[#This Row],[Date]])+1</f>
        <v>45870</v>
      </c>
      <c r="E144" s="6">
        <f t="shared" si="11"/>
        <v>31</v>
      </c>
      <c r="F144" s="229" t="str">
        <f>IFERROR(_xlfn.XLOOKUP($A144,'Raw Data'!$A:$A,'Raw Data'!$BR:$BR),"")</f>
        <v/>
      </c>
      <c r="G144" s="230" t="str">
        <f>IFERROR(_xlfn.XLOOKUP($A144,'Raw Data'!$A:$A,'Raw Data'!$AO:$AO),"")</f>
        <v/>
      </c>
      <c r="H144" s="230"/>
      <c r="I144" s="230" t="str">
        <f>IFERROR(_xlfn.XLOOKUP($A144,'Raw Data'!$A:$A,'Raw Data'!$AR:$AR),"")</f>
        <v/>
      </c>
      <c r="J144" s="230"/>
      <c r="K144" s="230" t="str">
        <f>IFERROR(_xlfn.XLOOKUP($A144,'Raw Data'!$A:$A,'Raw Data'!$AV:$AV),"")</f>
        <v/>
      </c>
      <c r="L144" s="230" t="str">
        <f>IFERROR(_xlfn.XLOOKUP($A144,'Raw Data'!$A:$A,'Raw Data'!$AW:$AW),"")</f>
        <v/>
      </c>
      <c r="M144" s="230" t="str">
        <f>IFERROR(_xlfn.XLOOKUP($A144,'Raw Data'!$A:$A,'Raw Data'!$AX:$AX),"")</f>
        <v/>
      </c>
      <c r="N144" s="230" t="str">
        <f>IFERROR(_xlfn.XLOOKUP($A144,'Raw Data'!$A:$A,'Raw Data'!$AY:$AY),"")</f>
        <v/>
      </c>
      <c r="O144" s="231" t="str">
        <f>IFERROR(1-(SUMIF('Plant BD'!$B:$B,A144,'Plant BD'!$AE:$AE)/(AA144+SUMIF('Plant BD'!$B:$B,A144,'Plant BD'!$AE:$AE))),"")</f>
        <v/>
      </c>
      <c r="P144" s="231"/>
      <c r="Q144" s="232"/>
      <c r="R144" s="231" t="str">
        <f>IFERROR(1-(SUMIF('Grid BD'!$B:$B,$A144,'Grid BD'!$AD:$AD)/($AA144+SUMIF('Grid BD'!$B:$B,$A144,'Grid BD'!AD:AD))),"")</f>
        <v/>
      </c>
      <c r="S144" s="6"/>
      <c r="T144" s="232"/>
      <c r="U144" s="233" t="str">
        <f t="shared" si="12"/>
        <v/>
      </c>
      <c r="V144" s="233"/>
      <c r="W144" s="234" t="str">
        <f t="shared" si="10"/>
        <v/>
      </c>
      <c r="X144" s="227" t="str">
        <f>IFERROR(_xlfn.XLOOKUP($A144,'Raw Data'!$A:$A,'Raw Data'!$BA:$BA),"")</f>
        <v/>
      </c>
      <c r="Y144" s="227" t="str">
        <f>IFERROR(_xlfn.XLOOKUP($A144,'Raw Data'!$A:$A,'Raw Data'!BJ:BJ),"")</f>
        <v/>
      </c>
      <c r="Z144" s="227" t="str">
        <f>IFERROR(_xlfn.XLOOKUP($A144,'Raw Data'!$A:$A,'Raw Data'!BK:BK),"")</f>
        <v/>
      </c>
      <c r="AA144" s="227" t="str">
        <f>IFERROR(_xlfn.XLOOKUP($A144,'Raw Data'!$A:$A,'Raw Data'!BL:BL),"")</f>
        <v/>
      </c>
      <c r="AB144" s="227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27">
        <f>IFERROR(_xlfn.XLOOKUP($D144,'Modelling New'!$D:$D,'Modelling New'!$T:$T)*1000,"")</f>
        <v>78067.213188687994</v>
      </c>
      <c r="AE144" s="234">
        <f>IFERROR(_xlfn.XLOOKUP($D144,'Modelling New'!$D:$D,'Modelling New'!$O:$O),"")</f>
        <v>0.76954570740685357</v>
      </c>
      <c r="AF144" s="234">
        <f>IFERROR(_xlfn.XLOOKUP($D144,'Modelling New'!$D:$D,'Modelling New'!$W:$W),"")</f>
        <v>0.13384303029361139</v>
      </c>
      <c r="AG144" s="234">
        <f>IFERROR(_xlfn.XLOOKUP($D144,'Modelling New'!$D:$D,'Modelling New'!AE:AE),"")</f>
        <v>0.995</v>
      </c>
      <c r="AH144" s="234">
        <v>0.99750000000000005</v>
      </c>
      <c r="AI144" s="6"/>
      <c r="AJ144" s="6"/>
      <c r="AK144" s="6"/>
      <c r="AL144" s="6"/>
      <c r="AM144" s="6"/>
      <c r="AN144" s="231"/>
      <c r="AO144" s="234"/>
      <c r="AP144" s="234"/>
      <c r="AQ144" s="234"/>
      <c r="AR144" s="227">
        <f>IFERROR(_xlfn.XLOOKUP($D144,'Modelling New'!$D:$D,'Modelling New'!$N:$N),"")</f>
        <v>24.303100000000001</v>
      </c>
      <c r="AS144" s="227"/>
    </row>
    <row r="145" spans="1:45" x14ac:dyDescent="0.35">
      <c r="A145" s="226">
        <f t="shared" si="9"/>
        <v>45888</v>
      </c>
      <c r="B145" s="227">
        <f>YEAR(Daily_KPI[[#This Row],[Date]])+IF(MONTH(Daily_KPI[[#This Row],[Date]])&gt;=4,1,0)</f>
        <v>2026</v>
      </c>
      <c r="C145" s="6">
        <f>YEAR(Daily_KPI[[#This Row],[Date]])</f>
        <v>2025</v>
      </c>
      <c r="D145" s="228">
        <f>Daily_KPI[[#This Row],[Date]]-DAY(Daily_KPI[[#This Row],[Date]])+1</f>
        <v>45870</v>
      </c>
      <c r="E145" s="6">
        <f t="shared" si="11"/>
        <v>31</v>
      </c>
      <c r="F145" s="229" t="str">
        <f>IFERROR(_xlfn.XLOOKUP($A145,'Raw Data'!$A:$A,'Raw Data'!$BR:$BR),"")</f>
        <v/>
      </c>
      <c r="G145" s="230" t="str">
        <f>IFERROR(_xlfn.XLOOKUP($A145,'Raw Data'!$A:$A,'Raw Data'!$AO:$AO),"")</f>
        <v/>
      </c>
      <c r="H145" s="230"/>
      <c r="I145" s="230" t="str">
        <f>IFERROR(_xlfn.XLOOKUP($A145,'Raw Data'!$A:$A,'Raw Data'!$AR:$AR),"")</f>
        <v/>
      </c>
      <c r="J145" s="230"/>
      <c r="K145" s="230" t="str">
        <f>IFERROR(_xlfn.XLOOKUP($A145,'Raw Data'!$A:$A,'Raw Data'!$AV:$AV),"")</f>
        <v/>
      </c>
      <c r="L145" s="230" t="str">
        <f>IFERROR(_xlfn.XLOOKUP($A145,'Raw Data'!$A:$A,'Raw Data'!$AW:$AW),"")</f>
        <v/>
      </c>
      <c r="M145" s="230" t="str">
        <f>IFERROR(_xlfn.XLOOKUP($A145,'Raw Data'!$A:$A,'Raw Data'!$AX:$AX),"")</f>
        <v/>
      </c>
      <c r="N145" s="230" t="str">
        <f>IFERROR(_xlfn.XLOOKUP($A145,'Raw Data'!$A:$A,'Raw Data'!$AY:$AY),"")</f>
        <v/>
      </c>
      <c r="O145" s="231" t="str">
        <f>IFERROR(1-(SUMIF('Plant BD'!$B:$B,A145,'Plant BD'!$AE:$AE)/(AA145+SUMIF('Plant BD'!$B:$B,A145,'Plant BD'!$AE:$AE))),"")</f>
        <v/>
      </c>
      <c r="P145" s="231"/>
      <c r="Q145" s="232"/>
      <c r="R145" s="231" t="str">
        <f>IFERROR(1-(SUMIF('Grid BD'!$B:$B,$A145,'Grid BD'!$AD:$AD)/($AA145+SUMIF('Grid BD'!$B:$B,$A145,'Grid BD'!AD:AD))),"")</f>
        <v/>
      </c>
      <c r="S145" s="6"/>
      <c r="T145" s="232"/>
      <c r="U145" s="233" t="str">
        <f t="shared" si="12"/>
        <v/>
      </c>
      <c r="V145" s="233"/>
      <c r="W145" s="234" t="str">
        <f t="shared" si="10"/>
        <v/>
      </c>
      <c r="X145" s="227" t="str">
        <f>IFERROR(_xlfn.XLOOKUP($A145,'Raw Data'!$A:$A,'Raw Data'!$BA:$BA),"")</f>
        <v/>
      </c>
      <c r="Y145" s="227" t="str">
        <f>IFERROR(_xlfn.XLOOKUP($A145,'Raw Data'!$A:$A,'Raw Data'!BJ:BJ),"")</f>
        <v/>
      </c>
      <c r="Z145" s="227" t="str">
        <f>IFERROR(_xlfn.XLOOKUP($A145,'Raw Data'!$A:$A,'Raw Data'!BK:BK),"")</f>
        <v/>
      </c>
      <c r="AA145" s="227" t="str">
        <f>IFERROR(_xlfn.XLOOKUP($A145,'Raw Data'!$A:$A,'Raw Data'!BL:BL),"")</f>
        <v/>
      </c>
      <c r="AB145" s="227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27">
        <f>IFERROR(_xlfn.XLOOKUP($D145,'Modelling New'!$D:$D,'Modelling New'!$T:$T)*1000,"")</f>
        <v>78067.213188687994</v>
      </c>
      <c r="AE145" s="234">
        <f>IFERROR(_xlfn.XLOOKUP($D145,'Modelling New'!$D:$D,'Modelling New'!$O:$O),"")</f>
        <v>0.76954570740685357</v>
      </c>
      <c r="AF145" s="234">
        <f>IFERROR(_xlfn.XLOOKUP($D145,'Modelling New'!$D:$D,'Modelling New'!$W:$W),"")</f>
        <v>0.13384303029361139</v>
      </c>
      <c r="AG145" s="234">
        <f>IFERROR(_xlfn.XLOOKUP($D145,'Modelling New'!$D:$D,'Modelling New'!AE:AE),"")</f>
        <v>0.995</v>
      </c>
      <c r="AH145" s="234">
        <v>0.99750000000000005</v>
      </c>
      <c r="AI145" s="6"/>
      <c r="AJ145" s="6"/>
      <c r="AK145" s="6"/>
      <c r="AL145" s="6"/>
      <c r="AM145" s="6"/>
      <c r="AN145" s="231"/>
      <c r="AO145" s="234"/>
      <c r="AP145" s="234"/>
      <c r="AQ145" s="234"/>
      <c r="AR145" s="227">
        <f>IFERROR(_xlfn.XLOOKUP($D145,'Modelling New'!$D:$D,'Modelling New'!$N:$N),"")</f>
        <v>24.303100000000001</v>
      </c>
      <c r="AS145" s="227"/>
    </row>
    <row r="146" spans="1:45" x14ac:dyDescent="0.35">
      <c r="A146" s="226">
        <f t="shared" si="9"/>
        <v>45889</v>
      </c>
      <c r="B146" s="227">
        <f>YEAR(Daily_KPI[[#This Row],[Date]])+IF(MONTH(Daily_KPI[[#This Row],[Date]])&gt;=4,1,0)</f>
        <v>2026</v>
      </c>
      <c r="C146" s="6">
        <f>YEAR(Daily_KPI[[#This Row],[Date]])</f>
        <v>2025</v>
      </c>
      <c r="D146" s="228">
        <f>Daily_KPI[[#This Row],[Date]]-DAY(Daily_KPI[[#This Row],[Date]])+1</f>
        <v>45870</v>
      </c>
      <c r="E146" s="6">
        <f t="shared" si="11"/>
        <v>31</v>
      </c>
      <c r="F146" s="229" t="str">
        <f>IFERROR(_xlfn.XLOOKUP($A146,'Raw Data'!$A:$A,'Raw Data'!$BR:$BR),"")</f>
        <v/>
      </c>
      <c r="G146" s="230" t="str">
        <f>IFERROR(_xlfn.XLOOKUP($A146,'Raw Data'!$A:$A,'Raw Data'!$AO:$AO),"")</f>
        <v/>
      </c>
      <c r="H146" s="230"/>
      <c r="I146" s="230" t="str">
        <f>IFERROR(_xlfn.XLOOKUP($A146,'Raw Data'!$A:$A,'Raw Data'!$AR:$AR),"")</f>
        <v/>
      </c>
      <c r="J146" s="230"/>
      <c r="K146" s="230" t="str">
        <f>IFERROR(_xlfn.XLOOKUP($A146,'Raw Data'!$A:$A,'Raw Data'!$AV:$AV),"")</f>
        <v/>
      </c>
      <c r="L146" s="230" t="str">
        <f>IFERROR(_xlfn.XLOOKUP($A146,'Raw Data'!$A:$A,'Raw Data'!$AW:$AW),"")</f>
        <v/>
      </c>
      <c r="M146" s="230" t="str">
        <f>IFERROR(_xlfn.XLOOKUP($A146,'Raw Data'!$A:$A,'Raw Data'!$AX:$AX),"")</f>
        <v/>
      </c>
      <c r="N146" s="230" t="str">
        <f>IFERROR(_xlfn.XLOOKUP($A146,'Raw Data'!$A:$A,'Raw Data'!$AY:$AY),"")</f>
        <v/>
      </c>
      <c r="O146" s="231" t="str">
        <f>IFERROR(1-(SUMIF('Plant BD'!$B:$B,A146,'Plant BD'!$AE:$AE)/(AA146+SUMIF('Plant BD'!$B:$B,A146,'Plant BD'!$AE:$AE))),"")</f>
        <v/>
      </c>
      <c r="P146" s="231"/>
      <c r="Q146" s="232"/>
      <c r="R146" s="231" t="str">
        <f>IFERROR(1-(SUMIF('Grid BD'!$B:$B,$A146,'Grid BD'!$AD:$AD)/($AA146+SUMIF('Grid BD'!$B:$B,$A146,'Grid BD'!AD:AD))),"")</f>
        <v/>
      </c>
      <c r="S146" s="6"/>
      <c r="T146" s="232"/>
      <c r="U146" s="233" t="str">
        <f t="shared" ref="U146:U209" si="13">IFERROR(AA146/I146/AB146/1000,"")</f>
        <v/>
      </c>
      <c r="V146" s="233"/>
      <c r="W146" s="234" t="str">
        <f t="shared" si="10"/>
        <v/>
      </c>
      <c r="X146" s="227" t="str">
        <f>IFERROR(_xlfn.XLOOKUP($A146,'Raw Data'!$A:$A,'Raw Data'!$BA:$BA),"")</f>
        <v/>
      </c>
      <c r="Y146" s="227" t="str">
        <f>IFERROR(_xlfn.XLOOKUP($A146,'Raw Data'!$A:$A,'Raw Data'!BJ:BJ),"")</f>
        <v/>
      </c>
      <c r="Z146" s="227" t="str">
        <f>IFERROR(_xlfn.XLOOKUP($A146,'Raw Data'!$A:$A,'Raw Data'!BK:BK),"")</f>
        <v/>
      </c>
      <c r="AA146" s="227" t="str">
        <f>IFERROR(_xlfn.XLOOKUP($A146,'Raw Data'!$A:$A,'Raw Data'!BL:BL),"")</f>
        <v/>
      </c>
      <c r="AB146" s="227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27">
        <f>IFERROR(_xlfn.XLOOKUP($D146,'Modelling New'!$D:$D,'Modelling New'!$T:$T)*1000,"")</f>
        <v>78067.213188687994</v>
      </c>
      <c r="AE146" s="234">
        <f>IFERROR(_xlfn.XLOOKUP($D146,'Modelling New'!$D:$D,'Modelling New'!$O:$O),"")</f>
        <v>0.76954570740685357</v>
      </c>
      <c r="AF146" s="234">
        <f>IFERROR(_xlfn.XLOOKUP($D146,'Modelling New'!$D:$D,'Modelling New'!$W:$W),"")</f>
        <v>0.13384303029361139</v>
      </c>
      <c r="AG146" s="234">
        <f>IFERROR(_xlfn.XLOOKUP($D146,'Modelling New'!$D:$D,'Modelling New'!AE:AE),"")</f>
        <v>0.995</v>
      </c>
      <c r="AH146" s="234">
        <v>0.99750000000000005</v>
      </c>
      <c r="AI146" s="6"/>
      <c r="AJ146" s="6"/>
      <c r="AK146" s="6"/>
      <c r="AL146" s="6"/>
      <c r="AM146" s="6"/>
      <c r="AN146" s="231"/>
      <c r="AO146" s="234"/>
      <c r="AP146" s="234"/>
      <c r="AQ146" s="234"/>
      <c r="AR146" s="227">
        <f>IFERROR(_xlfn.XLOOKUP($D146,'Modelling New'!$D:$D,'Modelling New'!$N:$N),"")</f>
        <v>24.303100000000001</v>
      </c>
      <c r="AS146" s="227"/>
    </row>
    <row r="147" spans="1:45" x14ac:dyDescent="0.35">
      <c r="A147" s="226">
        <f t="shared" si="9"/>
        <v>45890</v>
      </c>
      <c r="B147" s="227">
        <f>YEAR(Daily_KPI[[#This Row],[Date]])+IF(MONTH(Daily_KPI[[#This Row],[Date]])&gt;=4,1,0)</f>
        <v>2026</v>
      </c>
      <c r="C147" s="6">
        <f>YEAR(Daily_KPI[[#This Row],[Date]])</f>
        <v>2025</v>
      </c>
      <c r="D147" s="228">
        <f>Daily_KPI[[#This Row],[Date]]-DAY(Daily_KPI[[#This Row],[Date]])+1</f>
        <v>45870</v>
      </c>
      <c r="E147" s="6">
        <f t="shared" si="11"/>
        <v>31</v>
      </c>
      <c r="F147" s="229" t="str">
        <f>IFERROR(_xlfn.XLOOKUP($A147,'Raw Data'!$A:$A,'Raw Data'!$BR:$BR),"")</f>
        <v/>
      </c>
      <c r="G147" s="230" t="str">
        <f>IFERROR(_xlfn.XLOOKUP($A147,'Raw Data'!$A:$A,'Raw Data'!$AO:$AO),"")</f>
        <v/>
      </c>
      <c r="H147" s="230"/>
      <c r="I147" s="230" t="str">
        <f>IFERROR(_xlfn.XLOOKUP($A147,'Raw Data'!$A:$A,'Raw Data'!$AR:$AR),"")</f>
        <v/>
      </c>
      <c r="J147" s="230"/>
      <c r="K147" s="230" t="str">
        <f>IFERROR(_xlfn.XLOOKUP($A147,'Raw Data'!$A:$A,'Raw Data'!$AV:$AV),"")</f>
        <v/>
      </c>
      <c r="L147" s="230" t="str">
        <f>IFERROR(_xlfn.XLOOKUP($A147,'Raw Data'!$A:$A,'Raw Data'!$AW:$AW),"")</f>
        <v/>
      </c>
      <c r="M147" s="230" t="str">
        <f>IFERROR(_xlfn.XLOOKUP($A147,'Raw Data'!$A:$A,'Raw Data'!$AX:$AX),"")</f>
        <v/>
      </c>
      <c r="N147" s="230" t="str">
        <f>IFERROR(_xlfn.XLOOKUP($A147,'Raw Data'!$A:$A,'Raw Data'!$AY:$AY),"")</f>
        <v/>
      </c>
      <c r="O147" s="231" t="str">
        <f>IFERROR(1-(SUMIF('Plant BD'!$B:$B,A147,'Plant BD'!$AE:$AE)/(AA147+SUMIF('Plant BD'!$B:$B,A147,'Plant BD'!$AE:$AE))),"")</f>
        <v/>
      </c>
      <c r="P147" s="231"/>
      <c r="Q147" s="232"/>
      <c r="R147" s="231" t="str">
        <f>IFERROR(1-(SUMIF('Grid BD'!$B:$B,$A147,'Grid BD'!$AD:$AD)/($AA147+SUMIF('Grid BD'!$B:$B,$A147,'Grid BD'!AD:AD))),"")</f>
        <v/>
      </c>
      <c r="S147" s="6"/>
      <c r="T147" s="232"/>
      <c r="U147" s="233" t="str">
        <f t="shared" si="13"/>
        <v/>
      </c>
      <c r="V147" s="233"/>
      <c r="W147" s="234" t="str">
        <f t="shared" si="10"/>
        <v/>
      </c>
      <c r="X147" s="227" t="str">
        <f>IFERROR(_xlfn.XLOOKUP($A147,'Raw Data'!$A:$A,'Raw Data'!$BA:$BA),"")</f>
        <v/>
      </c>
      <c r="Y147" s="227" t="str">
        <f>IFERROR(_xlfn.XLOOKUP($A147,'Raw Data'!$A:$A,'Raw Data'!BJ:BJ),"")</f>
        <v/>
      </c>
      <c r="Z147" s="227" t="str">
        <f>IFERROR(_xlfn.XLOOKUP($A147,'Raw Data'!$A:$A,'Raw Data'!BK:BK),"")</f>
        <v/>
      </c>
      <c r="AA147" s="227" t="str">
        <f>IFERROR(_xlfn.XLOOKUP($A147,'Raw Data'!$A:$A,'Raw Data'!BL:BL),"")</f>
        <v/>
      </c>
      <c r="AB147" s="227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27">
        <f>IFERROR(_xlfn.XLOOKUP($D147,'Modelling New'!$D:$D,'Modelling New'!$T:$T)*1000,"")</f>
        <v>78067.213188687994</v>
      </c>
      <c r="AE147" s="234">
        <f>IFERROR(_xlfn.XLOOKUP($D147,'Modelling New'!$D:$D,'Modelling New'!$O:$O),"")</f>
        <v>0.76954570740685357</v>
      </c>
      <c r="AF147" s="234">
        <f>IFERROR(_xlfn.XLOOKUP($D147,'Modelling New'!$D:$D,'Modelling New'!$W:$W),"")</f>
        <v>0.13384303029361139</v>
      </c>
      <c r="AG147" s="234">
        <f>IFERROR(_xlfn.XLOOKUP($D147,'Modelling New'!$D:$D,'Modelling New'!AE:AE),"")</f>
        <v>0.995</v>
      </c>
      <c r="AH147" s="234">
        <v>0.99750000000000005</v>
      </c>
      <c r="AI147" s="6"/>
      <c r="AJ147" s="6"/>
      <c r="AK147" s="6"/>
      <c r="AL147" s="6"/>
      <c r="AM147" s="6"/>
      <c r="AN147" s="231"/>
      <c r="AO147" s="234"/>
      <c r="AP147" s="234"/>
      <c r="AQ147" s="234"/>
      <c r="AR147" s="227">
        <f>IFERROR(_xlfn.XLOOKUP($D147,'Modelling New'!$D:$D,'Modelling New'!$N:$N),"")</f>
        <v>24.303100000000001</v>
      </c>
      <c r="AS147" s="227"/>
    </row>
    <row r="148" spans="1:45" x14ac:dyDescent="0.35">
      <c r="A148" s="226">
        <f t="shared" ref="A148:A211" si="14">A147+1</f>
        <v>45891</v>
      </c>
      <c r="B148" s="227">
        <f>YEAR(Daily_KPI[[#This Row],[Date]])+IF(MONTH(Daily_KPI[[#This Row],[Date]])&gt;=4,1,0)</f>
        <v>2026</v>
      </c>
      <c r="C148" s="6">
        <f>YEAR(Daily_KPI[[#This Row],[Date]])</f>
        <v>2025</v>
      </c>
      <c r="D148" s="228">
        <f>Daily_KPI[[#This Row],[Date]]-DAY(Daily_KPI[[#This Row],[Date]])+1</f>
        <v>45870</v>
      </c>
      <c r="E148" s="6">
        <f t="shared" si="11"/>
        <v>31</v>
      </c>
      <c r="F148" s="229" t="str">
        <f>IFERROR(_xlfn.XLOOKUP($A148,'Raw Data'!$A:$A,'Raw Data'!$BR:$BR),"")</f>
        <v/>
      </c>
      <c r="G148" s="230" t="str">
        <f>IFERROR(_xlfn.XLOOKUP($A148,'Raw Data'!$A:$A,'Raw Data'!$AO:$AO),"")</f>
        <v/>
      </c>
      <c r="H148" s="230"/>
      <c r="I148" s="230" t="str">
        <f>IFERROR(_xlfn.XLOOKUP($A148,'Raw Data'!$A:$A,'Raw Data'!$AR:$AR),"")</f>
        <v/>
      </c>
      <c r="J148" s="230"/>
      <c r="K148" s="230" t="str">
        <f>IFERROR(_xlfn.XLOOKUP($A148,'Raw Data'!$A:$A,'Raw Data'!$AV:$AV),"")</f>
        <v/>
      </c>
      <c r="L148" s="230" t="str">
        <f>IFERROR(_xlfn.XLOOKUP($A148,'Raw Data'!$A:$A,'Raw Data'!$AW:$AW),"")</f>
        <v/>
      </c>
      <c r="M148" s="230" t="str">
        <f>IFERROR(_xlfn.XLOOKUP($A148,'Raw Data'!$A:$A,'Raw Data'!$AX:$AX),"")</f>
        <v/>
      </c>
      <c r="N148" s="230" t="str">
        <f>IFERROR(_xlfn.XLOOKUP($A148,'Raw Data'!$A:$A,'Raw Data'!$AY:$AY),"")</f>
        <v/>
      </c>
      <c r="O148" s="231" t="str">
        <f>IFERROR(1-(SUMIF('Plant BD'!$B:$B,A148,'Plant BD'!$AE:$AE)/(AA148+SUMIF('Plant BD'!$B:$B,A148,'Plant BD'!$AE:$AE))),"")</f>
        <v/>
      </c>
      <c r="P148" s="231"/>
      <c r="Q148" s="232"/>
      <c r="R148" s="231" t="str">
        <f>IFERROR(1-(SUMIF('Grid BD'!$B:$B,$A148,'Grid BD'!$AD:$AD)/($AA148+SUMIF('Grid BD'!$B:$B,$A148,'Grid BD'!AD:AD))),"")</f>
        <v/>
      </c>
      <c r="S148" s="6"/>
      <c r="T148" s="232"/>
      <c r="U148" s="233" t="str">
        <f t="shared" si="13"/>
        <v/>
      </c>
      <c r="V148" s="233"/>
      <c r="W148" s="234" t="str">
        <f t="shared" si="10"/>
        <v/>
      </c>
      <c r="X148" s="227" t="str">
        <f>IFERROR(_xlfn.XLOOKUP($A148,'Raw Data'!$A:$A,'Raw Data'!$BA:$BA),"")</f>
        <v/>
      </c>
      <c r="Y148" s="227" t="str">
        <f>IFERROR(_xlfn.XLOOKUP($A148,'Raw Data'!$A:$A,'Raw Data'!BJ:BJ),"")</f>
        <v/>
      </c>
      <c r="Z148" s="227" t="str">
        <f>IFERROR(_xlfn.XLOOKUP($A148,'Raw Data'!$A:$A,'Raw Data'!BK:BK),"")</f>
        <v/>
      </c>
      <c r="AA148" s="227" t="str">
        <f>IFERROR(_xlfn.XLOOKUP($A148,'Raw Data'!$A:$A,'Raw Data'!BL:BL),"")</f>
        <v/>
      </c>
      <c r="AB148" s="227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27">
        <f>IFERROR(_xlfn.XLOOKUP($D148,'Modelling New'!$D:$D,'Modelling New'!$T:$T)*1000,"")</f>
        <v>78067.213188687994</v>
      </c>
      <c r="AE148" s="234">
        <f>IFERROR(_xlfn.XLOOKUP($D148,'Modelling New'!$D:$D,'Modelling New'!$O:$O),"")</f>
        <v>0.76954570740685357</v>
      </c>
      <c r="AF148" s="234">
        <f>IFERROR(_xlfn.XLOOKUP($D148,'Modelling New'!$D:$D,'Modelling New'!$W:$W),"")</f>
        <v>0.13384303029361139</v>
      </c>
      <c r="AG148" s="234">
        <f>IFERROR(_xlfn.XLOOKUP($D148,'Modelling New'!$D:$D,'Modelling New'!AE:AE),"")</f>
        <v>0.995</v>
      </c>
      <c r="AH148" s="234">
        <v>0.99750000000000005</v>
      </c>
      <c r="AI148" s="6"/>
      <c r="AJ148" s="6"/>
      <c r="AK148" s="6"/>
      <c r="AL148" s="6"/>
      <c r="AM148" s="6"/>
      <c r="AN148" s="231"/>
      <c r="AO148" s="234"/>
      <c r="AP148" s="234"/>
      <c r="AQ148" s="234"/>
      <c r="AR148" s="227">
        <f>IFERROR(_xlfn.XLOOKUP($D148,'Modelling New'!$D:$D,'Modelling New'!$N:$N),"")</f>
        <v>24.303100000000001</v>
      </c>
      <c r="AS148" s="227"/>
    </row>
    <row r="149" spans="1:45" x14ac:dyDescent="0.35">
      <c r="A149" s="226">
        <f t="shared" si="14"/>
        <v>45892</v>
      </c>
      <c r="B149" s="227">
        <f>YEAR(Daily_KPI[[#This Row],[Date]])+IF(MONTH(Daily_KPI[[#This Row],[Date]])&gt;=4,1,0)</f>
        <v>2026</v>
      </c>
      <c r="C149" s="6">
        <f>YEAR(Daily_KPI[[#This Row],[Date]])</f>
        <v>2025</v>
      </c>
      <c r="D149" s="228">
        <f>Daily_KPI[[#This Row],[Date]]-DAY(Daily_KPI[[#This Row],[Date]])+1</f>
        <v>45870</v>
      </c>
      <c r="E149" s="6">
        <f t="shared" si="11"/>
        <v>31</v>
      </c>
      <c r="F149" s="229" t="str">
        <f>IFERROR(_xlfn.XLOOKUP($A149,'Raw Data'!$A:$A,'Raw Data'!$BR:$BR),"")</f>
        <v/>
      </c>
      <c r="G149" s="230" t="str">
        <f>IFERROR(_xlfn.XLOOKUP($A149,'Raw Data'!$A:$A,'Raw Data'!$AO:$AO),"")</f>
        <v/>
      </c>
      <c r="H149" s="230"/>
      <c r="I149" s="230" t="str">
        <f>IFERROR(_xlfn.XLOOKUP($A149,'Raw Data'!$A:$A,'Raw Data'!$AR:$AR),"")</f>
        <v/>
      </c>
      <c r="J149" s="230"/>
      <c r="K149" s="230" t="str">
        <f>IFERROR(_xlfn.XLOOKUP($A149,'Raw Data'!$A:$A,'Raw Data'!$AV:$AV),"")</f>
        <v/>
      </c>
      <c r="L149" s="230" t="str">
        <f>IFERROR(_xlfn.XLOOKUP($A149,'Raw Data'!$A:$A,'Raw Data'!$AW:$AW),"")</f>
        <v/>
      </c>
      <c r="M149" s="230" t="str">
        <f>IFERROR(_xlfn.XLOOKUP($A149,'Raw Data'!$A:$A,'Raw Data'!$AX:$AX),"")</f>
        <v/>
      </c>
      <c r="N149" s="230" t="str">
        <f>IFERROR(_xlfn.XLOOKUP($A149,'Raw Data'!$A:$A,'Raw Data'!$AY:$AY),"")</f>
        <v/>
      </c>
      <c r="O149" s="231" t="str">
        <f>IFERROR(1-(SUMIF('Plant BD'!$B:$B,A149,'Plant BD'!$AE:$AE)/(AA149+SUMIF('Plant BD'!$B:$B,A149,'Plant BD'!$AE:$AE))),"")</f>
        <v/>
      </c>
      <c r="P149" s="231"/>
      <c r="Q149" s="232"/>
      <c r="R149" s="231" t="str">
        <f>IFERROR(1-(SUMIF('Grid BD'!$B:$B,$A149,'Grid BD'!$AD:$AD)/($AA149+SUMIF('Grid BD'!$B:$B,$A149,'Grid BD'!AD:AD))),"")</f>
        <v/>
      </c>
      <c r="S149" s="6"/>
      <c r="T149" s="232"/>
      <c r="U149" s="233" t="str">
        <f t="shared" si="13"/>
        <v/>
      </c>
      <c r="V149" s="233"/>
      <c r="W149" s="234" t="str">
        <f t="shared" si="10"/>
        <v/>
      </c>
      <c r="X149" s="227" t="str">
        <f>IFERROR(_xlfn.XLOOKUP($A149,'Raw Data'!$A:$A,'Raw Data'!$BA:$BA),"")</f>
        <v/>
      </c>
      <c r="Y149" s="227" t="str">
        <f>IFERROR(_xlfn.XLOOKUP($A149,'Raw Data'!$A:$A,'Raw Data'!BJ:BJ),"")</f>
        <v/>
      </c>
      <c r="Z149" s="227" t="str">
        <f>IFERROR(_xlfn.XLOOKUP($A149,'Raw Data'!$A:$A,'Raw Data'!BK:BK),"")</f>
        <v/>
      </c>
      <c r="AA149" s="227" t="str">
        <f>IFERROR(_xlfn.XLOOKUP($A149,'Raw Data'!$A:$A,'Raw Data'!BL:BL),"")</f>
        <v/>
      </c>
      <c r="AB149" s="227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27">
        <f>IFERROR(_xlfn.XLOOKUP($D149,'Modelling New'!$D:$D,'Modelling New'!$T:$T)*1000,"")</f>
        <v>78067.213188687994</v>
      </c>
      <c r="AE149" s="234">
        <f>IFERROR(_xlfn.XLOOKUP($D149,'Modelling New'!$D:$D,'Modelling New'!$O:$O),"")</f>
        <v>0.76954570740685357</v>
      </c>
      <c r="AF149" s="234">
        <f>IFERROR(_xlfn.XLOOKUP($D149,'Modelling New'!$D:$D,'Modelling New'!$W:$W),"")</f>
        <v>0.13384303029361139</v>
      </c>
      <c r="AG149" s="234">
        <f>IFERROR(_xlfn.XLOOKUP($D149,'Modelling New'!$D:$D,'Modelling New'!AE:AE),"")</f>
        <v>0.995</v>
      </c>
      <c r="AH149" s="234">
        <v>0.99750000000000005</v>
      </c>
      <c r="AI149" s="6"/>
      <c r="AJ149" s="6"/>
      <c r="AK149" s="6"/>
      <c r="AL149" s="6"/>
      <c r="AM149" s="6"/>
      <c r="AN149" s="231"/>
      <c r="AO149" s="234"/>
      <c r="AP149" s="234"/>
      <c r="AQ149" s="234"/>
      <c r="AR149" s="227">
        <f>IFERROR(_xlfn.XLOOKUP($D149,'Modelling New'!$D:$D,'Modelling New'!$N:$N),"")</f>
        <v>24.303100000000001</v>
      </c>
      <c r="AS149" s="227"/>
    </row>
    <row r="150" spans="1:45" x14ac:dyDescent="0.35">
      <c r="A150" s="226">
        <f t="shared" si="14"/>
        <v>45893</v>
      </c>
      <c r="B150" s="227">
        <f>YEAR(Daily_KPI[[#This Row],[Date]])+IF(MONTH(Daily_KPI[[#This Row],[Date]])&gt;=4,1,0)</f>
        <v>2026</v>
      </c>
      <c r="C150" s="6">
        <f>YEAR(Daily_KPI[[#This Row],[Date]])</f>
        <v>2025</v>
      </c>
      <c r="D150" s="228">
        <f>Daily_KPI[[#This Row],[Date]]-DAY(Daily_KPI[[#This Row],[Date]])+1</f>
        <v>45870</v>
      </c>
      <c r="E150" s="6">
        <f t="shared" si="11"/>
        <v>31</v>
      </c>
      <c r="F150" s="229" t="str">
        <f>IFERROR(_xlfn.XLOOKUP($A150,'Raw Data'!$A:$A,'Raw Data'!$BR:$BR),"")</f>
        <v/>
      </c>
      <c r="G150" s="230" t="str">
        <f>IFERROR(_xlfn.XLOOKUP($A150,'Raw Data'!$A:$A,'Raw Data'!$AO:$AO),"")</f>
        <v/>
      </c>
      <c r="H150" s="230"/>
      <c r="I150" s="230" t="str">
        <f>IFERROR(_xlfn.XLOOKUP($A150,'Raw Data'!$A:$A,'Raw Data'!$AR:$AR),"")</f>
        <v/>
      </c>
      <c r="J150" s="230"/>
      <c r="K150" s="230" t="str">
        <f>IFERROR(_xlfn.XLOOKUP($A150,'Raw Data'!$A:$A,'Raw Data'!$AV:$AV),"")</f>
        <v/>
      </c>
      <c r="L150" s="230" t="str">
        <f>IFERROR(_xlfn.XLOOKUP($A150,'Raw Data'!$A:$A,'Raw Data'!$AW:$AW),"")</f>
        <v/>
      </c>
      <c r="M150" s="230" t="str">
        <f>IFERROR(_xlfn.XLOOKUP($A150,'Raw Data'!$A:$A,'Raw Data'!$AX:$AX),"")</f>
        <v/>
      </c>
      <c r="N150" s="230" t="str">
        <f>IFERROR(_xlfn.XLOOKUP($A150,'Raw Data'!$A:$A,'Raw Data'!$AY:$AY),"")</f>
        <v/>
      </c>
      <c r="O150" s="231" t="str">
        <f>IFERROR(1-(SUMIF('Plant BD'!$B:$B,A150,'Plant BD'!$AE:$AE)/(AA150+SUMIF('Plant BD'!$B:$B,A150,'Plant BD'!$AE:$AE))),"")</f>
        <v/>
      </c>
      <c r="P150" s="231"/>
      <c r="Q150" s="232"/>
      <c r="R150" s="231" t="str">
        <f>IFERROR(1-(SUMIF('Grid BD'!$B:$B,$A150,'Grid BD'!$AD:$AD)/($AA150+SUMIF('Grid BD'!$B:$B,$A150,'Grid BD'!AD:AD))),"")</f>
        <v/>
      </c>
      <c r="S150" s="6"/>
      <c r="T150" s="232"/>
      <c r="U150" s="233" t="str">
        <f t="shared" si="13"/>
        <v/>
      </c>
      <c r="V150" s="233"/>
      <c r="W150" s="234" t="str">
        <f t="shared" si="10"/>
        <v/>
      </c>
      <c r="X150" s="227" t="str">
        <f>IFERROR(_xlfn.XLOOKUP($A150,'Raw Data'!$A:$A,'Raw Data'!$BA:$BA),"")</f>
        <v/>
      </c>
      <c r="Y150" s="227" t="str">
        <f>IFERROR(_xlfn.XLOOKUP($A150,'Raw Data'!$A:$A,'Raw Data'!BJ:BJ),"")</f>
        <v/>
      </c>
      <c r="Z150" s="227" t="str">
        <f>IFERROR(_xlfn.XLOOKUP($A150,'Raw Data'!$A:$A,'Raw Data'!BK:BK),"")</f>
        <v/>
      </c>
      <c r="AA150" s="227" t="str">
        <f>IFERROR(_xlfn.XLOOKUP($A150,'Raw Data'!$A:$A,'Raw Data'!BL:BL),"")</f>
        <v/>
      </c>
      <c r="AB150" s="227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27">
        <f>IFERROR(_xlfn.XLOOKUP($D150,'Modelling New'!$D:$D,'Modelling New'!$T:$T)*1000,"")</f>
        <v>78067.213188687994</v>
      </c>
      <c r="AE150" s="234">
        <f>IFERROR(_xlfn.XLOOKUP($D150,'Modelling New'!$D:$D,'Modelling New'!$O:$O),"")</f>
        <v>0.76954570740685357</v>
      </c>
      <c r="AF150" s="234">
        <f>IFERROR(_xlfn.XLOOKUP($D150,'Modelling New'!$D:$D,'Modelling New'!$W:$W),"")</f>
        <v>0.13384303029361139</v>
      </c>
      <c r="AG150" s="234">
        <f>IFERROR(_xlfn.XLOOKUP($D150,'Modelling New'!$D:$D,'Modelling New'!AE:AE),"")</f>
        <v>0.995</v>
      </c>
      <c r="AH150" s="234">
        <v>0.99750000000000005</v>
      </c>
      <c r="AI150" s="6"/>
      <c r="AJ150" s="6"/>
      <c r="AK150" s="6"/>
      <c r="AL150" s="6"/>
      <c r="AM150" s="6"/>
      <c r="AN150" s="231"/>
      <c r="AO150" s="234"/>
      <c r="AP150" s="234"/>
      <c r="AQ150" s="234"/>
      <c r="AR150" s="227">
        <f>IFERROR(_xlfn.XLOOKUP($D150,'Modelling New'!$D:$D,'Modelling New'!$N:$N),"")</f>
        <v>24.303100000000001</v>
      </c>
      <c r="AS150" s="227"/>
    </row>
    <row r="151" spans="1:45" x14ac:dyDescent="0.35">
      <c r="A151" s="226">
        <f t="shared" si="14"/>
        <v>45894</v>
      </c>
      <c r="B151" s="227">
        <f>YEAR(Daily_KPI[[#This Row],[Date]])+IF(MONTH(Daily_KPI[[#This Row],[Date]])&gt;=4,1,0)</f>
        <v>2026</v>
      </c>
      <c r="C151" s="6">
        <f>YEAR(Daily_KPI[[#This Row],[Date]])</f>
        <v>2025</v>
      </c>
      <c r="D151" s="228">
        <f>Daily_KPI[[#This Row],[Date]]-DAY(Daily_KPI[[#This Row],[Date]])+1</f>
        <v>45870</v>
      </c>
      <c r="E151" s="6">
        <f t="shared" si="11"/>
        <v>31</v>
      </c>
      <c r="F151" s="229" t="str">
        <f>IFERROR(_xlfn.XLOOKUP($A151,'Raw Data'!$A:$A,'Raw Data'!$BR:$BR),"")</f>
        <v/>
      </c>
      <c r="G151" s="230" t="str">
        <f>IFERROR(_xlfn.XLOOKUP($A151,'Raw Data'!$A:$A,'Raw Data'!$AO:$AO),"")</f>
        <v/>
      </c>
      <c r="H151" s="230"/>
      <c r="I151" s="230" t="str">
        <f>IFERROR(_xlfn.XLOOKUP($A151,'Raw Data'!$A:$A,'Raw Data'!$AR:$AR),"")</f>
        <v/>
      </c>
      <c r="J151" s="230"/>
      <c r="K151" s="230" t="str">
        <f>IFERROR(_xlfn.XLOOKUP($A151,'Raw Data'!$A:$A,'Raw Data'!$AV:$AV),"")</f>
        <v/>
      </c>
      <c r="L151" s="230" t="str">
        <f>IFERROR(_xlfn.XLOOKUP($A151,'Raw Data'!$A:$A,'Raw Data'!$AW:$AW),"")</f>
        <v/>
      </c>
      <c r="M151" s="230" t="str">
        <f>IFERROR(_xlfn.XLOOKUP($A151,'Raw Data'!$A:$A,'Raw Data'!$AX:$AX),"")</f>
        <v/>
      </c>
      <c r="N151" s="230" t="str">
        <f>IFERROR(_xlfn.XLOOKUP($A151,'Raw Data'!$A:$A,'Raw Data'!$AY:$AY),"")</f>
        <v/>
      </c>
      <c r="O151" s="231" t="str">
        <f>IFERROR(1-(SUMIF('Plant BD'!$B:$B,A151,'Plant BD'!$AE:$AE)/(AA151+SUMIF('Plant BD'!$B:$B,A151,'Plant BD'!$AE:$AE))),"")</f>
        <v/>
      </c>
      <c r="P151" s="231"/>
      <c r="Q151" s="232"/>
      <c r="R151" s="231" t="str">
        <f>IFERROR(1-(SUMIF('Grid BD'!$B:$B,$A151,'Grid BD'!$AD:$AD)/($AA151+SUMIF('Grid BD'!$B:$B,$A151,'Grid BD'!AD:AD))),"")</f>
        <v/>
      </c>
      <c r="S151" s="6"/>
      <c r="T151" s="232"/>
      <c r="U151" s="233" t="str">
        <f t="shared" si="13"/>
        <v/>
      </c>
      <c r="V151" s="233"/>
      <c r="W151" s="234" t="str">
        <f t="shared" si="10"/>
        <v/>
      </c>
      <c r="X151" s="227" t="str">
        <f>IFERROR(_xlfn.XLOOKUP($A151,'Raw Data'!$A:$A,'Raw Data'!$BA:$BA),"")</f>
        <v/>
      </c>
      <c r="Y151" s="227" t="str">
        <f>IFERROR(_xlfn.XLOOKUP($A151,'Raw Data'!$A:$A,'Raw Data'!BJ:BJ),"")</f>
        <v/>
      </c>
      <c r="Z151" s="227" t="str">
        <f>IFERROR(_xlfn.XLOOKUP($A151,'Raw Data'!$A:$A,'Raw Data'!BK:BK),"")</f>
        <v/>
      </c>
      <c r="AA151" s="227" t="str">
        <f>IFERROR(_xlfn.XLOOKUP($A151,'Raw Data'!$A:$A,'Raw Data'!BL:BL),"")</f>
        <v/>
      </c>
      <c r="AB151" s="227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27">
        <f>IFERROR(_xlfn.XLOOKUP($D151,'Modelling New'!$D:$D,'Modelling New'!$T:$T)*1000,"")</f>
        <v>78067.213188687994</v>
      </c>
      <c r="AE151" s="234">
        <f>IFERROR(_xlfn.XLOOKUP($D151,'Modelling New'!$D:$D,'Modelling New'!$O:$O),"")</f>
        <v>0.76954570740685357</v>
      </c>
      <c r="AF151" s="234">
        <f>IFERROR(_xlfn.XLOOKUP($D151,'Modelling New'!$D:$D,'Modelling New'!$W:$W),"")</f>
        <v>0.13384303029361139</v>
      </c>
      <c r="AG151" s="234">
        <f>IFERROR(_xlfn.XLOOKUP($D151,'Modelling New'!$D:$D,'Modelling New'!AE:AE),"")</f>
        <v>0.995</v>
      </c>
      <c r="AH151" s="234">
        <v>0.99750000000000005</v>
      </c>
      <c r="AI151" s="6"/>
      <c r="AJ151" s="6"/>
      <c r="AK151" s="6"/>
      <c r="AL151" s="6"/>
      <c r="AM151" s="6"/>
      <c r="AN151" s="231"/>
      <c r="AO151" s="234"/>
      <c r="AP151" s="234"/>
      <c r="AQ151" s="234"/>
      <c r="AR151" s="227">
        <f>IFERROR(_xlfn.XLOOKUP($D151,'Modelling New'!$D:$D,'Modelling New'!$N:$N),"")</f>
        <v>24.303100000000001</v>
      </c>
      <c r="AS151" s="227"/>
    </row>
    <row r="152" spans="1:45" x14ac:dyDescent="0.35">
      <c r="A152" s="226">
        <f t="shared" si="14"/>
        <v>45895</v>
      </c>
      <c r="B152" s="227">
        <f>YEAR(Daily_KPI[[#This Row],[Date]])+IF(MONTH(Daily_KPI[[#This Row],[Date]])&gt;=4,1,0)</f>
        <v>2026</v>
      </c>
      <c r="C152" s="6">
        <f>YEAR(Daily_KPI[[#This Row],[Date]])</f>
        <v>2025</v>
      </c>
      <c r="D152" s="228">
        <f>Daily_KPI[[#This Row],[Date]]-DAY(Daily_KPI[[#This Row],[Date]])+1</f>
        <v>45870</v>
      </c>
      <c r="E152" s="6">
        <f t="shared" si="11"/>
        <v>31</v>
      </c>
      <c r="F152" s="229" t="str">
        <f>IFERROR(_xlfn.XLOOKUP($A152,'Raw Data'!$A:$A,'Raw Data'!$BR:$BR),"")</f>
        <v/>
      </c>
      <c r="G152" s="230" t="str">
        <f>IFERROR(_xlfn.XLOOKUP($A152,'Raw Data'!$A:$A,'Raw Data'!$AO:$AO),"")</f>
        <v/>
      </c>
      <c r="H152" s="230"/>
      <c r="I152" s="230" t="str">
        <f>IFERROR(_xlfn.XLOOKUP($A152,'Raw Data'!$A:$A,'Raw Data'!$AR:$AR),"")</f>
        <v/>
      </c>
      <c r="J152" s="230"/>
      <c r="K152" s="230" t="str">
        <f>IFERROR(_xlfn.XLOOKUP($A152,'Raw Data'!$A:$A,'Raw Data'!$AV:$AV),"")</f>
        <v/>
      </c>
      <c r="L152" s="230" t="str">
        <f>IFERROR(_xlfn.XLOOKUP($A152,'Raw Data'!$A:$A,'Raw Data'!$AW:$AW),"")</f>
        <v/>
      </c>
      <c r="M152" s="230" t="str">
        <f>IFERROR(_xlfn.XLOOKUP($A152,'Raw Data'!$A:$A,'Raw Data'!$AX:$AX),"")</f>
        <v/>
      </c>
      <c r="N152" s="230" t="str">
        <f>IFERROR(_xlfn.XLOOKUP($A152,'Raw Data'!$A:$A,'Raw Data'!$AY:$AY),"")</f>
        <v/>
      </c>
      <c r="O152" s="231" t="str">
        <f>IFERROR(1-(SUMIF('Plant BD'!$B:$B,A152,'Plant BD'!$AE:$AE)/(AA152+SUMIF('Plant BD'!$B:$B,A152,'Plant BD'!$AE:$AE))),"")</f>
        <v/>
      </c>
      <c r="P152" s="231"/>
      <c r="Q152" s="232"/>
      <c r="R152" s="231" t="str">
        <f>IFERROR(1-(SUMIF('Grid BD'!$B:$B,$A152,'Grid BD'!$AD:$AD)/($AA152+SUMIF('Grid BD'!$B:$B,$A152,'Grid BD'!AD:AD))),"")</f>
        <v/>
      </c>
      <c r="S152" s="6"/>
      <c r="T152" s="232"/>
      <c r="U152" s="233" t="str">
        <f t="shared" si="13"/>
        <v/>
      </c>
      <c r="V152" s="233"/>
      <c r="W152" s="234" t="str">
        <f t="shared" si="10"/>
        <v/>
      </c>
      <c r="X152" s="227" t="str">
        <f>IFERROR(_xlfn.XLOOKUP($A152,'Raw Data'!$A:$A,'Raw Data'!$BA:$BA),"")</f>
        <v/>
      </c>
      <c r="Y152" s="227" t="str">
        <f>IFERROR(_xlfn.XLOOKUP($A152,'Raw Data'!$A:$A,'Raw Data'!BJ:BJ),"")</f>
        <v/>
      </c>
      <c r="Z152" s="227" t="str">
        <f>IFERROR(_xlfn.XLOOKUP($A152,'Raw Data'!$A:$A,'Raw Data'!BK:BK),"")</f>
        <v/>
      </c>
      <c r="AA152" s="227" t="str">
        <f>IFERROR(_xlfn.XLOOKUP($A152,'Raw Data'!$A:$A,'Raw Data'!BL:BL),"")</f>
        <v/>
      </c>
      <c r="AB152" s="227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27">
        <f>IFERROR(_xlfn.XLOOKUP($D152,'Modelling New'!$D:$D,'Modelling New'!$T:$T)*1000,"")</f>
        <v>78067.213188687994</v>
      </c>
      <c r="AE152" s="234">
        <f>IFERROR(_xlfn.XLOOKUP($D152,'Modelling New'!$D:$D,'Modelling New'!$O:$O),"")</f>
        <v>0.76954570740685357</v>
      </c>
      <c r="AF152" s="234">
        <f>IFERROR(_xlfn.XLOOKUP($D152,'Modelling New'!$D:$D,'Modelling New'!$W:$W),"")</f>
        <v>0.13384303029361139</v>
      </c>
      <c r="AG152" s="234">
        <f>IFERROR(_xlfn.XLOOKUP($D152,'Modelling New'!$D:$D,'Modelling New'!AE:AE),"")</f>
        <v>0.995</v>
      </c>
      <c r="AH152" s="234">
        <v>0.99750000000000005</v>
      </c>
      <c r="AI152" s="6"/>
      <c r="AJ152" s="6"/>
      <c r="AK152" s="6"/>
      <c r="AL152" s="6"/>
      <c r="AM152" s="6"/>
      <c r="AN152" s="231"/>
      <c r="AO152" s="234"/>
      <c r="AP152" s="234"/>
      <c r="AQ152" s="234"/>
      <c r="AR152" s="227">
        <f>IFERROR(_xlfn.XLOOKUP($D152,'Modelling New'!$D:$D,'Modelling New'!$N:$N),"")</f>
        <v>24.303100000000001</v>
      </c>
      <c r="AS152" s="227"/>
    </row>
    <row r="153" spans="1:45" x14ac:dyDescent="0.35">
      <c r="A153" s="226">
        <f t="shared" si="14"/>
        <v>45896</v>
      </c>
      <c r="B153" s="227">
        <f>YEAR(Daily_KPI[[#This Row],[Date]])+IF(MONTH(Daily_KPI[[#This Row],[Date]])&gt;=4,1,0)</f>
        <v>2026</v>
      </c>
      <c r="C153" s="6">
        <f>YEAR(Daily_KPI[[#This Row],[Date]])</f>
        <v>2025</v>
      </c>
      <c r="D153" s="228">
        <f>Daily_KPI[[#This Row],[Date]]-DAY(Daily_KPI[[#This Row],[Date]])+1</f>
        <v>45870</v>
      </c>
      <c r="E153" s="6">
        <f t="shared" si="11"/>
        <v>31</v>
      </c>
      <c r="F153" s="229" t="str">
        <f>IFERROR(_xlfn.XLOOKUP($A153,'Raw Data'!$A:$A,'Raw Data'!$BR:$BR),"")</f>
        <v/>
      </c>
      <c r="G153" s="230" t="str">
        <f>IFERROR(_xlfn.XLOOKUP($A153,'Raw Data'!$A:$A,'Raw Data'!$AO:$AO),"")</f>
        <v/>
      </c>
      <c r="H153" s="230"/>
      <c r="I153" s="230" t="str">
        <f>IFERROR(_xlfn.XLOOKUP($A153,'Raw Data'!$A:$A,'Raw Data'!$AR:$AR),"")</f>
        <v/>
      </c>
      <c r="J153" s="230"/>
      <c r="K153" s="230" t="str">
        <f>IFERROR(_xlfn.XLOOKUP($A153,'Raw Data'!$A:$A,'Raw Data'!$AV:$AV),"")</f>
        <v/>
      </c>
      <c r="L153" s="230" t="str">
        <f>IFERROR(_xlfn.XLOOKUP($A153,'Raw Data'!$A:$A,'Raw Data'!$AW:$AW),"")</f>
        <v/>
      </c>
      <c r="M153" s="230" t="str">
        <f>IFERROR(_xlfn.XLOOKUP($A153,'Raw Data'!$A:$A,'Raw Data'!$AX:$AX),"")</f>
        <v/>
      </c>
      <c r="N153" s="230" t="str">
        <f>IFERROR(_xlfn.XLOOKUP($A153,'Raw Data'!$A:$A,'Raw Data'!$AY:$AY),"")</f>
        <v/>
      </c>
      <c r="O153" s="231" t="str">
        <f>IFERROR(1-(SUMIF('Plant BD'!$B:$B,A153,'Plant BD'!$AE:$AE)/(AA153+SUMIF('Plant BD'!$B:$B,A153,'Plant BD'!$AE:$AE))),"")</f>
        <v/>
      </c>
      <c r="P153" s="231"/>
      <c r="Q153" s="232"/>
      <c r="R153" s="231" t="str">
        <f>IFERROR(1-(SUMIF('Grid BD'!$B:$B,$A153,'Grid BD'!$AD:$AD)/($AA153+SUMIF('Grid BD'!$B:$B,$A153,'Grid BD'!AD:AD))),"")</f>
        <v/>
      </c>
      <c r="S153" s="6"/>
      <c r="T153" s="232"/>
      <c r="U153" s="233" t="str">
        <f t="shared" si="13"/>
        <v/>
      </c>
      <c r="V153" s="233"/>
      <c r="W153" s="234" t="str">
        <f t="shared" si="10"/>
        <v/>
      </c>
      <c r="X153" s="227" t="str">
        <f>IFERROR(_xlfn.XLOOKUP($A153,'Raw Data'!$A:$A,'Raw Data'!$BA:$BA),"")</f>
        <v/>
      </c>
      <c r="Y153" s="227" t="str">
        <f>IFERROR(_xlfn.XLOOKUP($A153,'Raw Data'!$A:$A,'Raw Data'!BJ:BJ),"")</f>
        <v/>
      </c>
      <c r="Z153" s="227" t="str">
        <f>IFERROR(_xlfn.XLOOKUP($A153,'Raw Data'!$A:$A,'Raw Data'!BK:BK),"")</f>
        <v/>
      </c>
      <c r="AA153" s="227" t="str">
        <f>IFERROR(_xlfn.XLOOKUP($A153,'Raw Data'!$A:$A,'Raw Data'!BL:BL),"")</f>
        <v/>
      </c>
      <c r="AB153" s="227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27">
        <f>IFERROR(_xlfn.XLOOKUP($D153,'Modelling New'!$D:$D,'Modelling New'!$T:$T)*1000,"")</f>
        <v>78067.213188687994</v>
      </c>
      <c r="AE153" s="234">
        <f>IFERROR(_xlfn.XLOOKUP($D153,'Modelling New'!$D:$D,'Modelling New'!$O:$O),"")</f>
        <v>0.76954570740685357</v>
      </c>
      <c r="AF153" s="234">
        <f>IFERROR(_xlfn.XLOOKUP($D153,'Modelling New'!$D:$D,'Modelling New'!$W:$W),"")</f>
        <v>0.13384303029361139</v>
      </c>
      <c r="AG153" s="234">
        <f>IFERROR(_xlfn.XLOOKUP($D153,'Modelling New'!$D:$D,'Modelling New'!AE:AE),"")</f>
        <v>0.995</v>
      </c>
      <c r="AH153" s="234">
        <v>0.99750000000000005</v>
      </c>
      <c r="AI153" s="6"/>
      <c r="AJ153" s="6"/>
      <c r="AK153" s="6"/>
      <c r="AL153" s="6"/>
      <c r="AM153" s="6"/>
      <c r="AN153" s="231"/>
      <c r="AO153" s="234"/>
      <c r="AP153" s="234"/>
      <c r="AQ153" s="234"/>
      <c r="AR153" s="227">
        <f>IFERROR(_xlfn.XLOOKUP($D153,'Modelling New'!$D:$D,'Modelling New'!$N:$N),"")</f>
        <v>24.303100000000001</v>
      </c>
      <c r="AS153" s="227"/>
    </row>
    <row r="154" spans="1:45" x14ac:dyDescent="0.35">
      <c r="A154" s="226">
        <f t="shared" si="14"/>
        <v>45897</v>
      </c>
      <c r="B154" s="227">
        <f>YEAR(Daily_KPI[[#This Row],[Date]])+IF(MONTH(Daily_KPI[[#This Row],[Date]])&gt;=4,1,0)</f>
        <v>2026</v>
      </c>
      <c r="C154" s="6">
        <f>YEAR(Daily_KPI[[#This Row],[Date]])</f>
        <v>2025</v>
      </c>
      <c r="D154" s="228">
        <f>Daily_KPI[[#This Row],[Date]]-DAY(Daily_KPI[[#This Row],[Date]])+1</f>
        <v>45870</v>
      </c>
      <c r="E154" s="6">
        <f t="shared" si="11"/>
        <v>31</v>
      </c>
      <c r="F154" s="229" t="str">
        <f>IFERROR(_xlfn.XLOOKUP($A154,'Raw Data'!$A:$A,'Raw Data'!$BR:$BR),"")</f>
        <v/>
      </c>
      <c r="G154" s="230" t="str">
        <f>IFERROR(_xlfn.XLOOKUP($A154,'Raw Data'!$A:$A,'Raw Data'!$AO:$AO),"")</f>
        <v/>
      </c>
      <c r="H154" s="230"/>
      <c r="I154" s="230" t="str">
        <f>IFERROR(_xlfn.XLOOKUP($A154,'Raw Data'!$A:$A,'Raw Data'!$AR:$AR),"")</f>
        <v/>
      </c>
      <c r="J154" s="230"/>
      <c r="K154" s="230" t="str">
        <f>IFERROR(_xlfn.XLOOKUP($A154,'Raw Data'!$A:$A,'Raw Data'!$AV:$AV),"")</f>
        <v/>
      </c>
      <c r="L154" s="230" t="str">
        <f>IFERROR(_xlfn.XLOOKUP($A154,'Raw Data'!$A:$A,'Raw Data'!$AW:$AW),"")</f>
        <v/>
      </c>
      <c r="M154" s="230" t="str">
        <f>IFERROR(_xlfn.XLOOKUP($A154,'Raw Data'!$A:$A,'Raw Data'!$AX:$AX),"")</f>
        <v/>
      </c>
      <c r="N154" s="230" t="str">
        <f>IFERROR(_xlfn.XLOOKUP($A154,'Raw Data'!$A:$A,'Raw Data'!$AY:$AY),"")</f>
        <v/>
      </c>
      <c r="O154" s="231" t="str">
        <f>IFERROR(1-(SUMIF('Plant BD'!$B:$B,A154,'Plant BD'!$AE:$AE)/(AA154+SUMIF('Plant BD'!$B:$B,A154,'Plant BD'!$AE:$AE))),"")</f>
        <v/>
      </c>
      <c r="P154" s="231"/>
      <c r="Q154" s="232"/>
      <c r="R154" s="231" t="str">
        <f>IFERROR(1-(SUMIF('Grid BD'!$B:$B,$A154,'Grid BD'!$AD:$AD)/($AA154+SUMIF('Grid BD'!$B:$B,$A154,'Grid BD'!AD:AD))),"")</f>
        <v/>
      </c>
      <c r="S154" s="6"/>
      <c r="T154" s="232"/>
      <c r="U154" s="233" t="str">
        <f t="shared" si="13"/>
        <v/>
      </c>
      <c r="V154" s="233"/>
      <c r="W154" s="234" t="str">
        <f t="shared" si="10"/>
        <v/>
      </c>
      <c r="X154" s="227" t="str">
        <f>IFERROR(_xlfn.XLOOKUP($A154,'Raw Data'!$A:$A,'Raw Data'!$BA:$BA),"")</f>
        <v/>
      </c>
      <c r="Y154" s="227" t="str">
        <f>IFERROR(_xlfn.XLOOKUP($A154,'Raw Data'!$A:$A,'Raw Data'!BJ:BJ),"")</f>
        <v/>
      </c>
      <c r="Z154" s="227" t="str">
        <f>IFERROR(_xlfn.XLOOKUP($A154,'Raw Data'!$A:$A,'Raw Data'!BK:BK),"")</f>
        <v/>
      </c>
      <c r="AA154" s="227" t="str">
        <f>IFERROR(_xlfn.XLOOKUP($A154,'Raw Data'!$A:$A,'Raw Data'!BL:BL),"")</f>
        <v/>
      </c>
      <c r="AB154" s="227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27">
        <f>IFERROR(_xlfn.XLOOKUP($D154,'Modelling New'!$D:$D,'Modelling New'!$T:$T)*1000,"")</f>
        <v>78067.213188687994</v>
      </c>
      <c r="AE154" s="234">
        <f>IFERROR(_xlfn.XLOOKUP($D154,'Modelling New'!$D:$D,'Modelling New'!$O:$O),"")</f>
        <v>0.76954570740685357</v>
      </c>
      <c r="AF154" s="234">
        <f>IFERROR(_xlfn.XLOOKUP($D154,'Modelling New'!$D:$D,'Modelling New'!$W:$W),"")</f>
        <v>0.13384303029361139</v>
      </c>
      <c r="AG154" s="234">
        <f>IFERROR(_xlfn.XLOOKUP($D154,'Modelling New'!$D:$D,'Modelling New'!AE:AE),"")</f>
        <v>0.995</v>
      </c>
      <c r="AH154" s="234">
        <v>0.99750000000000005</v>
      </c>
      <c r="AI154" s="6"/>
      <c r="AJ154" s="6"/>
      <c r="AK154" s="6"/>
      <c r="AL154" s="6"/>
      <c r="AM154" s="6"/>
      <c r="AN154" s="231"/>
      <c r="AO154" s="234"/>
      <c r="AP154" s="234"/>
      <c r="AQ154" s="234"/>
      <c r="AR154" s="227">
        <f>IFERROR(_xlfn.XLOOKUP($D154,'Modelling New'!$D:$D,'Modelling New'!$N:$N),"")</f>
        <v>24.303100000000001</v>
      </c>
      <c r="AS154" s="227"/>
    </row>
    <row r="155" spans="1:45" x14ac:dyDescent="0.35">
      <c r="A155" s="226">
        <f t="shared" si="14"/>
        <v>45898</v>
      </c>
      <c r="B155" s="227">
        <f>YEAR(Daily_KPI[[#This Row],[Date]])+IF(MONTH(Daily_KPI[[#This Row],[Date]])&gt;=4,1,0)</f>
        <v>2026</v>
      </c>
      <c r="C155" s="6">
        <f>YEAR(Daily_KPI[[#This Row],[Date]])</f>
        <v>2025</v>
      </c>
      <c r="D155" s="228">
        <f>Daily_KPI[[#This Row],[Date]]-DAY(Daily_KPI[[#This Row],[Date]])+1</f>
        <v>45870</v>
      </c>
      <c r="E155" s="6">
        <f t="shared" si="11"/>
        <v>31</v>
      </c>
      <c r="F155" s="229" t="str">
        <f>IFERROR(_xlfn.XLOOKUP($A155,'Raw Data'!$A:$A,'Raw Data'!$BR:$BR),"")</f>
        <v/>
      </c>
      <c r="G155" s="230" t="str">
        <f>IFERROR(_xlfn.XLOOKUP($A155,'Raw Data'!$A:$A,'Raw Data'!$AO:$AO),"")</f>
        <v/>
      </c>
      <c r="H155" s="230"/>
      <c r="I155" s="230" t="str">
        <f>IFERROR(_xlfn.XLOOKUP($A155,'Raw Data'!$A:$A,'Raw Data'!$AR:$AR),"")</f>
        <v/>
      </c>
      <c r="J155" s="230"/>
      <c r="K155" s="230" t="str">
        <f>IFERROR(_xlfn.XLOOKUP($A155,'Raw Data'!$A:$A,'Raw Data'!$AV:$AV),"")</f>
        <v/>
      </c>
      <c r="L155" s="230" t="str">
        <f>IFERROR(_xlfn.XLOOKUP($A155,'Raw Data'!$A:$A,'Raw Data'!$AW:$AW),"")</f>
        <v/>
      </c>
      <c r="M155" s="230" t="str">
        <f>IFERROR(_xlfn.XLOOKUP($A155,'Raw Data'!$A:$A,'Raw Data'!$AX:$AX),"")</f>
        <v/>
      </c>
      <c r="N155" s="230" t="str">
        <f>IFERROR(_xlfn.XLOOKUP($A155,'Raw Data'!$A:$A,'Raw Data'!$AY:$AY),"")</f>
        <v/>
      </c>
      <c r="O155" s="231" t="str">
        <f>IFERROR(1-(SUMIF('Plant BD'!$B:$B,A155,'Plant BD'!$AE:$AE)/(AA155+SUMIF('Plant BD'!$B:$B,A155,'Plant BD'!$AE:$AE))),"")</f>
        <v/>
      </c>
      <c r="P155" s="231"/>
      <c r="Q155" s="232"/>
      <c r="R155" s="231" t="str">
        <f>IFERROR(1-(SUMIF('Grid BD'!$B:$B,$A155,'Grid BD'!$AD:$AD)/($AA155+SUMIF('Grid BD'!$B:$B,$A155,'Grid BD'!AD:AD))),"")</f>
        <v/>
      </c>
      <c r="S155" s="6"/>
      <c r="T155" s="232"/>
      <c r="U155" s="233" t="str">
        <f t="shared" si="13"/>
        <v/>
      </c>
      <c r="V155" s="233"/>
      <c r="W155" s="234" t="str">
        <f t="shared" si="10"/>
        <v/>
      </c>
      <c r="X155" s="227" t="str">
        <f>IFERROR(_xlfn.XLOOKUP($A155,'Raw Data'!$A:$A,'Raw Data'!$BA:$BA),"")</f>
        <v/>
      </c>
      <c r="Y155" s="227" t="str">
        <f>IFERROR(_xlfn.XLOOKUP($A155,'Raw Data'!$A:$A,'Raw Data'!BJ:BJ),"")</f>
        <v/>
      </c>
      <c r="Z155" s="227" t="str">
        <f>IFERROR(_xlfn.XLOOKUP($A155,'Raw Data'!$A:$A,'Raw Data'!BK:BK),"")</f>
        <v/>
      </c>
      <c r="AA155" s="227" t="str">
        <f>IFERROR(_xlfn.XLOOKUP($A155,'Raw Data'!$A:$A,'Raw Data'!BL:BL),"")</f>
        <v/>
      </c>
      <c r="AB155" s="227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27">
        <f>IFERROR(_xlfn.XLOOKUP($D155,'Modelling New'!$D:$D,'Modelling New'!$T:$T)*1000,"")</f>
        <v>78067.213188687994</v>
      </c>
      <c r="AE155" s="234">
        <f>IFERROR(_xlfn.XLOOKUP($D155,'Modelling New'!$D:$D,'Modelling New'!$O:$O),"")</f>
        <v>0.76954570740685357</v>
      </c>
      <c r="AF155" s="234">
        <f>IFERROR(_xlfn.XLOOKUP($D155,'Modelling New'!$D:$D,'Modelling New'!$W:$W),"")</f>
        <v>0.13384303029361139</v>
      </c>
      <c r="AG155" s="234">
        <f>IFERROR(_xlfn.XLOOKUP($D155,'Modelling New'!$D:$D,'Modelling New'!AE:AE),"")</f>
        <v>0.995</v>
      </c>
      <c r="AH155" s="234">
        <v>0.99750000000000005</v>
      </c>
      <c r="AI155" s="6"/>
      <c r="AJ155" s="6"/>
      <c r="AK155" s="6"/>
      <c r="AL155" s="6"/>
      <c r="AM155" s="6"/>
      <c r="AN155" s="231"/>
      <c r="AO155" s="234"/>
      <c r="AP155" s="234"/>
      <c r="AQ155" s="234"/>
      <c r="AR155" s="227">
        <f>IFERROR(_xlfn.XLOOKUP($D155,'Modelling New'!$D:$D,'Modelling New'!$N:$N),"")</f>
        <v>24.303100000000001</v>
      </c>
      <c r="AS155" s="227"/>
    </row>
    <row r="156" spans="1:45" x14ac:dyDescent="0.35">
      <c r="A156" s="226">
        <f t="shared" si="14"/>
        <v>45899</v>
      </c>
      <c r="B156" s="227">
        <f>YEAR(Daily_KPI[[#This Row],[Date]])+IF(MONTH(Daily_KPI[[#This Row],[Date]])&gt;=4,1,0)</f>
        <v>2026</v>
      </c>
      <c r="C156" s="6">
        <f>YEAR(Daily_KPI[[#This Row],[Date]])</f>
        <v>2025</v>
      </c>
      <c r="D156" s="228">
        <f>Daily_KPI[[#This Row],[Date]]-DAY(Daily_KPI[[#This Row],[Date]])+1</f>
        <v>45870</v>
      </c>
      <c r="E156" s="6">
        <f t="shared" si="11"/>
        <v>31</v>
      </c>
      <c r="F156" s="229" t="str">
        <f>IFERROR(_xlfn.XLOOKUP($A156,'Raw Data'!$A:$A,'Raw Data'!$BR:$BR),"")</f>
        <v/>
      </c>
      <c r="G156" s="230" t="str">
        <f>IFERROR(_xlfn.XLOOKUP($A156,'Raw Data'!$A:$A,'Raw Data'!$AO:$AO),"")</f>
        <v/>
      </c>
      <c r="H156" s="230"/>
      <c r="I156" s="230" t="str">
        <f>IFERROR(_xlfn.XLOOKUP($A156,'Raw Data'!$A:$A,'Raw Data'!$AR:$AR),"")</f>
        <v/>
      </c>
      <c r="J156" s="230"/>
      <c r="K156" s="230" t="str">
        <f>IFERROR(_xlfn.XLOOKUP($A156,'Raw Data'!$A:$A,'Raw Data'!$AV:$AV),"")</f>
        <v/>
      </c>
      <c r="L156" s="230" t="str">
        <f>IFERROR(_xlfn.XLOOKUP($A156,'Raw Data'!$A:$A,'Raw Data'!$AW:$AW),"")</f>
        <v/>
      </c>
      <c r="M156" s="230" t="str">
        <f>IFERROR(_xlfn.XLOOKUP($A156,'Raw Data'!$A:$A,'Raw Data'!$AX:$AX),"")</f>
        <v/>
      </c>
      <c r="N156" s="230" t="str">
        <f>IFERROR(_xlfn.XLOOKUP($A156,'Raw Data'!$A:$A,'Raw Data'!$AY:$AY),"")</f>
        <v/>
      </c>
      <c r="O156" s="231" t="str">
        <f>IFERROR(1-(SUMIF('Plant BD'!$B:$B,A156,'Plant BD'!$AE:$AE)/(AA156+SUMIF('Plant BD'!$B:$B,A156,'Plant BD'!$AE:$AE))),"")</f>
        <v/>
      </c>
      <c r="P156" s="231"/>
      <c r="Q156" s="232"/>
      <c r="R156" s="231" t="str">
        <f>IFERROR(1-(SUMIF('Grid BD'!$B:$B,$A156,'Grid BD'!$AD:$AD)/($AA156+SUMIF('Grid BD'!$B:$B,$A156,'Grid BD'!AD:AD))),"")</f>
        <v/>
      </c>
      <c r="S156" s="6"/>
      <c r="T156" s="232"/>
      <c r="U156" s="233" t="str">
        <f t="shared" si="13"/>
        <v/>
      </c>
      <c r="V156" s="233"/>
      <c r="W156" s="234" t="str">
        <f t="shared" si="10"/>
        <v/>
      </c>
      <c r="X156" s="227" t="str">
        <f>IFERROR(_xlfn.XLOOKUP($A156,'Raw Data'!$A:$A,'Raw Data'!$BA:$BA),"")</f>
        <v/>
      </c>
      <c r="Y156" s="227" t="str">
        <f>IFERROR(_xlfn.XLOOKUP($A156,'Raw Data'!$A:$A,'Raw Data'!BJ:BJ),"")</f>
        <v/>
      </c>
      <c r="Z156" s="227" t="str">
        <f>IFERROR(_xlfn.XLOOKUP($A156,'Raw Data'!$A:$A,'Raw Data'!BK:BK),"")</f>
        <v/>
      </c>
      <c r="AA156" s="227" t="str">
        <f>IFERROR(_xlfn.XLOOKUP($A156,'Raw Data'!$A:$A,'Raw Data'!BL:BL),"")</f>
        <v/>
      </c>
      <c r="AB156" s="227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27">
        <f>IFERROR(_xlfn.XLOOKUP($D156,'Modelling New'!$D:$D,'Modelling New'!$T:$T)*1000,"")</f>
        <v>78067.213188687994</v>
      </c>
      <c r="AE156" s="234">
        <f>IFERROR(_xlfn.XLOOKUP($D156,'Modelling New'!$D:$D,'Modelling New'!$O:$O),"")</f>
        <v>0.76954570740685357</v>
      </c>
      <c r="AF156" s="234">
        <f>IFERROR(_xlfn.XLOOKUP($D156,'Modelling New'!$D:$D,'Modelling New'!$W:$W),"")</f>
        <v>0.13384303029361139</v>
      </c>
      <c r="AG156" s="234">
        <f>IFERROR(_xlfn.XLOOKUP($D156,'Modelling New'!$D:$D,'Modelling New'!AE:AE),"")</f>
        <v>0.995</v>
      </c>
      <c r="AH156" s="234">
        <v>0.99750000000000005</v>
      </c>
      <c r="AI156" s="6"/>
      <c r="AJ156" s="6"/>
      <c r="AK156" s="6"/>
      <c r="AL156" s="6"/>
      <c r="AM156" s="6"/>
      <c r="AN156" s="231"/>
      <c r="AO156" s="234"/>
      <c r="AP156" s="234"/>
      <c r="AQ156" s="234"/>
      <c r="AR156" s="227">
        <f>IFERROR(_xlfn.XLOOKUP($D156,'Modelling New'!$D:$D,'Modelling New'!$N:$N),"")</f>
        <v>24.303100000000001</v>
      </c>
      <c r="AS156" s="227"/>
    </row>
    <row r="157" spans="1:45" x14ac:dyDescent="0.35">
      <c r="A157" s="226">
        <f t="shared" si="14"/>
        <v>45900</v>
      </c>
      <c r="B157" s="227">
        <f>YEAR(Daily_KPI[[#This Row],[Date]])+IF(MONTH(Daily_KPI[[#This Row],[Date]])&gt;=4,1,0)</f>
        <v>2026</v>
      </c>
      <c r="C157" s="6">
        <f>YEAR(Daily_KPI[[#This Row],[Date]])</f>
        <v>2025</v>
      </c>
      <c r="D157" s="228">
        <f>Daily_KPI[[#This Row],[Date]]-DAY(Daily_KPI[[#This Row],[Date]])+1</f>
        <v>45870</v>
      </c>
      <c r="E157" s="6">
        <f t="shared" si="11"/>
        <v>31</v>
      </c>
      <c r="F157" s="229" t="str">
        <f>IFERROR(_xlfn.XLOOKUP($A157,'Raw Data'!$A:$A,'Raw Data'!$BR:$BR),"")</f>
        <v/>
      </c>
      <c r="G157" s="230" t="str">
        <f>IFERROR(_xlfn.XLOOKUP($A157,'Raw Data'!$A:$A,'Raw Data'!$AO:$AO),"")</f>
        <v/>
      </c>
      <c r="H157" s="230"/>
      <c r="I157" s="230" t="str">
        <f>IFERROR(_xlfn.XLOOKUP($A157,'Raw Data'!$A:$A,'Raw Data'!$AR:$AR),"")</f>
        <v/>
      </c>
      <c r="J157" s="230"/>
      <c r="K157" s="230" t="str">
        <f>IFERROR(_xlfn.XLOOKUP($A157,'Raw Data'!$A:$A,'Raw Data'!$AV:$AV),"")</f>
        <v/>
      </c>
      <c r="L157" s="230" t="str">
        <f>IFERROR(_xlfn.XLOOKUP($A157,'Raw Data'!$A:$A,'Raw Data'!$AW:$AW),"")</f>
        <v/>
      </c>
      <c r="M157" s="230" t="str">
        <f>IFERROR(_xlfn.XLOOKUP($A157,'Raw Data'!$A:$A,'Raw Data'!$AX:$AX),"")</f>
        <v/>
      </c>
      <c r="N157" s="230" t="str">
        <f>IFERROR(_xlfn.XLOOKUP($A157,'Raw Data'!$A:$A,'Raw Data'!$AY:$AY),"")</f>
        <v/>
      </c>
      <c r="O157" s="231" t="str">
        <f>IFERROR(1-(SUMIF('Plant BD'!$B:$B,A157,'Plant BD'!$AE:$AE)/(AA157+SUMIF('Plant BD'!$B:$B,A157,'Plant BD'!$AE:$AE))),"")</f>
        <v/>
      </c>
      <c r="P157" s="231"/>
      <c r="Q157" s="232"/>
      <c r="R157" s="231" t="str">
        <f>IFERROR(1-(SUMIF('Grid BD'!$B:$B,$A157,'Grid BD'!$AD:$AD)/($AA157+SUMIF('Grid BD'!$B:$B,$A157,'Grid BD'!AD:AD))),"")</f>
        <v/>
      </c>
      <c r="S157" s="6"/>
      <c r="T157" s="232"/>
      <c r="U157" s="233" t="str">
        <f t="shared" si="13"/>
        <v/>
      </c>
      <c r="V157" s="233"/>
      <c r="W157" s="234" t="str">
        <f t="shared" si="10"/>
        <v/>
      </c>
      <c r="X157" s="227" t="str">
        <f>IFERROR(_xlfn.XLOOKUP($A157,'Raw Data'!$A:$A,'Raw Data'!$BA:$BA),"")</f>
        <v/>
      </c>
      <c r="Y157" s="227" t="str">
        <f>IFERROR(_xlfn.XLOOKUP($A157,'Raw Data'!$A:$A,'Raw Data'!BJ:BJ),"")</f>
        <v/>
      </c>
      <c r="Z157" s="227" t="str">
        <f>IFERROR(_xlfn.XLOOKUP($A157,'Raw Data'!$A:$A,'Raw Data'!BK:BK),"")</f>
        <v/>
      </c>
      <c r="AA157" s="227" t="str">
        <f>IFERROR(_xlfn.XLOOKUP($A157,'Raw Data'!$A:$A,'Raw Data'!BL:BL),"")</f>
        <v/>
      </c>
      <c r="AB157" s="227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27">
        <f>IFERROR(_xlfn.XLOOKUP($D157,'Modelling New'!$D:$D,'Modelling New'!$T:$T)*1000,"")</f>
        <v>78067.213188687994</v>
      </c>
      <c r="AE157" s="234">
        <f>IFERROR(_xlfn.XLOOKUP($D157,'Modelling New'!$D:$D,'Modelling New'!$O:$O),"")</f>
        <v>0.76954570740685357</v>
      </c>
      <c r="AF157" s="234">
        <f>IFERROR(_xlfn.XLOOKUP($D157,'Modelling New'!$D:$D,'Modelling New'!$W:$W),"")</f>
        <v>0.13384303029361139</v>
      </c>
      <c r="AG157" s="234">
        <f>IFERROR(_xlfn.XLOOKUP($D157,'Modelling New'!$D:$D,'Modelling New'!AE:AE),"")</f>
        <v>0.995</v>
      </c>
      <c r="AH157" s="234">
        <v>0.99750000000000005</v>
      </c>
      <c r="AI157" s="6"/>
      <c r="AJ157" s="6"/>
      <c r="AK157" s="6"/>
      <c r="AL157" s="6"/>
      <c r="AM157" s="6"/>
      <c r="AN157" s="231"/>
      <c r="AO157" s="234"/>
      <c r="AP157" s="234"/>
      <c r="AQ157" s="234"/>
      <c r="AR157" s="227">
        <f>IFERROR(_xlfn.XLOOKUP($D157,'Modelling New'!$D:$D,'Modelling New'!$N:$N),"")</f>
        <v>24.303100000000001</v>
      </c>
      <c r="AS157" s="227"/>
    </row>
    <row r="158" spans="1:45" x14ac:dyDescent="0.35">
      <c r="A158" s="226">
        <f t="shared" si="14"/>
        <v>45901</v>
      </c>
      <c r="B158" s="227">
        <f>YEAR(Daily_KPI[[#This Row],[Date]])+IF(MONTH(Daily_KPI[[#This Row],[Date]])&gt;=4,1,0)</f>
        <v>2026</v>
      </c>
      <c r="C158" s="6">
        <f>YEAR(Daily_KPI[[#This Row],[Date]])</f>
        <v>2025</v>
      </c>
      <c r="D158" s="228">
        <f>Daily_KPI[[#This Row],[Date]]-DAY(Daily_KPI[[#This Row],[Date]])+1</f>
        <v>45901</v>
      </c>
      <c r="E158" s="6">
        <f t="shared" si="11"/>
        <v>30</v>
      </c>
      <c r="F158" s="229" t="str">
        <f>IFERROR(_xlfn.XLOOKUP($A158,'Raw Data'!$A:$A,'Raw Data'!$BR:$BR),"")</f>
        <v/>
      </c>
      <c r="G158" s="230" t="str">
        <f>IFERROR(_xlfn.XLOOKUP($A158,'Raw Data'!$A:$A,'Raw Data'!$AO:$AO),"")</f>
        <v/>
      </c>
      <c r="H158" s="230"/>
      <c r="I158" s="230" t="str">
        <f>IFERROR(_xlfn.XLOOKUP($A158,'Raw Data'!$A:$A,'Raw Data'!$AR:$AR),"")</f>
        <v/>
      </c>
      <c r="J158" s="230"/>
      <c r="K158" s="230" t="str">
        <f>IFERROR(_xlfn.XLOOKUP($A158,'Raw Data'!$A:$A,'Raw Data'!$AV:$AV),"")</f>
        <v/>
      </c>
      <c r="L158" s="230" t="str">
        <f>IFERROR(_xlfn.XLOOKUP($A158,'Raw Data'!$A:$A,'Raw Data'!$AW:$AW),"")</f>
        <v/>
      </c>
      <c r="M158" s="230" t="str">
        <f>IFERROR(_xlfn.XLOOKUP($A158,'Raw Data'!$A:$A,'Raw Data'!$AX:$AX),"")</f>
        <v/>
      </c>
      <c r="N158" s="230" t="str">
        <f>IFERROR(_xlfn.XLOOKUP($A158,'Raw Data'!$A:$A,'Raw Data'!$AY:$AY),"")</f>
        <v/>
      </c>
      <c r="O158" s="231" t="str">
        <f>IFERROR(1-(SUMIF('Plant BD'!$B:$B,A158,'Plant BD'!$AE:$AE)/(AA158+SUMIF('Plant BD'!$B:$B,A158,'Plant BD'!$AE:$AE))),"")</f>
        <v/>
      </c>
      <c r="P158" s="231"/>
      <c r="Q158" s="232"/>
      <c r="R158" s="231" t="str">
        <f>IFERROR(1-(SUMIF('Grid BD'!$B:$B,$A158,'Grid BD'!$AD:$AD)/($AA158+SUMIF('Grid BD'!$B:$B,$A158,'Grid BD'!AD:AD))),"")</f>
        <v/>
      </c>
      <c r="S158" s="6"/>
      <c r="T158" s="232"/>
      <c r="U158" s="233" t="str">
        <f t="shared" si="13"/>
        <v/>
      </c>
      <c r="V158" s="233"/>
      <c r="W158" s="234" t="str">
        <f t="shared" si="10"/>
        <v/>
      </c>
      <c r="X158" s="227" t="str">
        <f>IFERROR(_xlfn.XLOOKUP($A158,'Raw Data'!$A:$A,'Raw Data'!$BA:$BA),"")</f>
        <v/>
      </c>
      <c r="Y158" s="227" t="str">
        <f>IFERROR(_xlfn.XLOOKUP($A158,'Raw Data'!$A:$A,'Raw Data'!BJ:BJ),"")</f>
        <v/>
      </c>
      <c r="Z158" s="227" t="str">
        <f>IFERROR(_xlfn.XLOOKUP($A158,'Raw Data'!$A:$A,'Raw Data'!BK:BK),"")</f>
        <v/>
      </c>
      <c r="AA158" s="227" t="str">
        <f>IFERROR(_xlfn.XLOOKUP($A158,'Raw Data'!$A:$A,'Raw Data'!BL:BL),"")</f>
        <v/>
      </c>
      <c r="AB158" s="227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27">
        <f>IFERROR(_xlfn.XLOOKUP($D158,'Modelling New'!$D:$D,'Modelling New'!$T:$T)*1000,"")</f>
        <v>91491.490277141027</v>
      </c>
      <c r="AE158" s="234">
        <f>IFERROR(_xlfn.XLOOKUP($D158,'Modelling New'!$D:$D,'Modelling New'!$O:$O),"")</f>
        <v>0.76309492836200032</v>
      </c>
      <c r="AF158" s="234">
        <f>IFERROR(_xlfn.XLOOKUP($D158,'Modelling New'!$D:$D,'Modelling New'!$W:$W),"")</f>
        <v>0.15685840194107786</v>
      </c>
      <c r="AG158" s="234">
        <f>IFERROR(_xlfn.XLOOKUP($D158,'Modelling New'!$D:$D,'Modelling New'!AE:AE),"")</f>
        <v>0.995</v>
      </c>
      <c r="AH158" s="234">
        <v>0.99750000000000005</v>
      </c>
      <c r="AI158" s="6"/>
      <c r="AJ158" s="6"/>
      <c r="AK158" s="6"/>
      <c r="AL158" s="6"/>
      <c r="AM158" s="6"/>
      <c r="AN158" s="231"/>
      <c r="AO158" s="234"/>
      <c r="AP158" s="234"/>
      <c r="AQ158" s="234"/>
      <c r="AR158" s="227">
        <f>IFERROR(_xlfn.XLOOKUP($D158,'Modelling New'!$D:$D,'Modelling New'!$N:$N),"")</f>
        <v>24.303100000000001</v>
      </c>
      <c r="AS158" s="227"/>
    </row>
    <row r="159" spans="1:45" x14ac:dyDescent="0.35">
      <c r="A159" s="226">
        <f t="shared" si="14"/>
        <v>45902</v>
      </c>
      <c r="B159" s="227">
        <f>YEAR(Daily_KPI[[#This Row],[Date]])+IF(MONTH(Daily_KPI[[#This Row],[Date]])&gt;=4,1,0)</f>
        <v>2026</v>
      </c>
      <c r="C159" s="6">
        <f>YEAR(Daily_KPI[[#This Row],[Date]])</f>
        <v>2025</v>
      </c>
      <c r="D159" s="228">
        <f>Daily_KPI[[#This Row],[Date]]-DAY(Daily_KPI[[#This Row],[Date]])+1</f>
        <v>45901</v>
      </c>
      <c r="E159" s="6">
        <f t="shared" si="11"/>
        <v>30</v>
      </c>
      <c r="F159" s="229" t="str">
        <f>IFERROR(_xlfn.XLOOKUP($A159,'Raw Data'!$A:$A,'Raw Data'!$BR:$BR),"")</f>
        <v/>
      </c>
      <c r="G159" s="230" t="str">
        <f>IFERROR(_xlfn.XLOOKUP($A159,'Raw Data'!$A:$A,'Raw Data'!$AO:$AO),"")</f>
        <v/>
      </c>
      <c r="H159" s="230"/>
      <c r="I159" s="230" t="str">
        <f>IFERROR(_xlfn.XLOOKUP($A159,'Raw Data'!$A:$A,'Raw Data'!$AR:$AR),"")</f>
        <v/>
      </c>
      <c r="J159" s="230"/>
      <c r="K159" s="230" t="str">
        <f>IFERROR(_xlfn.XLOOKUP($A159,'Raw Data'!$A:$A,'Raw Data'!$AV:$AV),"")</f>
        <v/>
      </c>
      <c r="L159" s="230" t="str">
        <f>IFERROR(_xlfn.XLOOKUP($A159,'Raw Data'!$A:$A,'Raw Data'!$AW:$AW),"")</f>
        <v/>
      </c>
      <c r="M159" s="230" t="str">
        <f>IFERROR(_xlfn.XLOOKUP($A159,'Raw Data'!$A:$A,'Raw Data'!$AX:$AX),"")</f>
        <v/>
      </c>
      <c r="N159" s="230" t="str">
        <f>IFERROR(_xlfn.XLOOKUP($A159,'Raw Data'!$A:$A,'Raw Data'!$AY:$AY),"")</f>
        <v/>
      </c>
      <c r="O159" s="231" t="str">
        <f>IFERROR(1-(SUMIF('Plant BD'!$B:$B,A159,'Plant BD'!$AE:$AE)/(AA159+SUMIF('Plant BD'!$B:$B,A159,'Plant BD'!$AE:$AE))),"")</f>
        <v/>
      </c>
      <c r="P159" s="231"/>
      <c r="Q159" s="232"/>
      <c r="R159" s="231" t="str">
        <f>IFERROR(1-(SUMIF('Grid BD'!$B:$B,$A159,'Grid BD'!$AD:$AD)/($AA159+SUMIF('Grid BD'!$B:$B,$A159,'Grid BD'!AD:AD))),"")</f>
        <v/>
      </c>
      <c r="S159" s="6"/>
      <c r="T159" s="232"/>
      <c r="U159" s="233" t="str">
        <f t="shared" si="13"/>
        <v/>
      </c>
      <c r="V159" s="233"/>
      <c r="W159" s="234" t="str">
        <f t="shared" si="10"/>
        <v/>
      </c>
      <c r="X159" s="227" t="str">
        <f>IFERROR(_xlfn.XLOOKUP($A159,'Raw Data'!$A:$A,'Raw Data'!$BA:$BA),"")</f>
        <v/>
      </c>
      <c r="Y159" s="227" t="str">
        <f>IFERROR(_xlfn.XLOOKUP($A159,'Raw Data'!$A:$A,'Raw Data'!BJ:BJ),"")</f>
        <v/>
      </c>
      <c r="Z159" s="227" t="str">
        <f>IFERROR(_xlfn.XLOOKUP($A159,'Raw Data'!$A:$A,'Raw Data'!BK:BK),"")</f>
        <v/>
      </c>
      <c r="AA159" s="227" t="str">
        <f>IFERROR(_xlfn.XLOOKUP($A159,'Raw Data'!$A:$A,'Raw Data'!BL:BL),"")</f>
        <v/>
      </c>
      <c r="AB159" s="227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27">
        <f>IFERROR(_xlfn.XLOOKUP($D159,'Modelling New'!$D:$D,'Modelling New'!$T:$T)*1000,"")</f>
        <v>91491.490277141027</v>
      </c>
      <c r="AE159" s="234">
        <f>IFERROR(_xlfn.XLOOKUP($D159,'Modelling New'!$D:$D,'Modelling New'!$O:$O),"")</f>
        <v>0.76309492836200032</v>
      </c>
      <c r="AF159" s="234">
        <f>IFERROR(_xlfn.XLOOKUP($D159,'Modelling New'!$D:$D,'Modelling New'!$W:$W),"")</f>
        <v>0.15685840194107786</v>
      </c>
      <c r="AG159" s="234">
        <f>IFERROR(_xlfn.XLOOKUP($D159,'Modelling New'!$D:$D,'Modelling New'!AE:AE),"")</f>
        <v>0.995</v>
      </c>
      <c r="AH159" s="234">
        <v>0.99750000000000005</v>
      </c>
      <c r="AI159" s="6"/>
      <c r="AJ159" s="6"/>
      <c r="AK159" s="6"/>
      <c r="AL159" s="6"/>
      <c r="AM159" s="6"/>
      <c r="AN159" s="231"/>
      <c r="AO159" s="234"/>
      <c r="AP159" s="234"/>
      <c r="AQ159" s="234"/>
      <c r="AR159" s="227">
        <f>IFERROR(_xlfn.XLOOKUP($D159,'Modelling New'!$D:$D,'Modelling New'!$N:$N),"")</f>
        <v>24.303100000000001</v>
      </c>
      <c r="AS159" s="227"/>
    </row>
    <row r="160" spans="1:45" x14ac:dyDescent="0.35">
      <c r="A160" s="226">
        <f t="shared" si="14"/>
        <v>45903</v>
      </c>
      <c r="B160" s="227">
        <f>YEAR(Daily_KPI[[#This Row],[Date]])+IF(MONTH(Daily_KPI[[#This Row],[Date]])&gt;=4,1,0)</f>
        <v>2026</v>
      </c>
      <c r="C160" s="6">
        <f>YEAR(Daily_KPI[[#This Row],[Date]])</f>
        <v>2025</v>
      </c>
      <c r="D160" s="228">
        <f>Daily_KPI[[#This Row],[Date]]-DAY(Daily_KPI[[#This Row],[Date]])+1</f>
        <v>45901</v>
      </c>
      <c r="E160" s="6">
        <f t="shared" si="11"/>
        <v>30</v>
      </c>
      <c r="F160" s="229" t="str">
        <f>IFERROR(_xlfn.XLOOKUP($A160,'Raw Data'!$A:$A,'Raw Data'!$BR:$BR),"")</f>
        <v/>
      </c>
      <c r="G160" s="230" t="str">
        <f>IFERROR(_xlfn.XLOOKUP($A160,'Raw Data'!$A:$A,'Raw Data'!$AO:$AO),"")</f>
        <v/>
      </c>
      <c r="H160" s="230"/>
      <c r="I160" s="230" t="str">
        <f>IFERROR(_xlfn.XLOOKUP($A160,'Raw Data'!$A:$A,'Raw Data'!$AR:$AR),"")</f>
        <v/>
      </c>
      <c r="J160" s="230"/>
      <c r="K160" s="230" t="str">
        <f>IFERROR(_xlfn.XLOOKUP($A160,'Raw Data'!$A:$A,'Raw Data'!$AV:$AV),"")</f>
        <v/>
      </c>
      <c r="L160" s="230" t="str">
        <f>IFERROR(_xlfn.XLOOKUP($A160,'Raw Data'!$A:$A,'Raw Data'!$AW:$AW),"")</f>
        <v/>
      </c>
      <c r="M160" s="230" t="str">
        <f>IFERROR(_xlfn.XLOOKUP($A160,'Raw Data'!$A:$A,'Raw Data'!$AX:$AX),"")</f>
        <v/>
      </c>
      <c r="N160" s="230" t="str">
        <f>IFERROR(_xlfn.XLOOKUP($A160,'Raw Data'!$A:$A,'Raw Data'!$AY:$AY),"")</f>
        <v/>
      </c>
      <c r="O160" s="231" t="str">
        <f>IFERROR(1-(SUMIF('Plant BD'!$B:$B,A160,'Plant BD'!$AE:$AE)/(AA160+SUMIF('Plant BD'!$B:$B,A160,'Plant BD'!$AE:$AE))),"")</f>
        <v/>
      </c>
      <c r="P160" s="231"/>
      <c r="Q160" s="232"/>
      <c r="R160" s="231" t="str">
        <f>IFERROR(1-(SUMIF('Grid BD'!$B:$B,$A160,'Grid BD'!$AD:$AD)/($AA160+SUMIF('Grid BD'!$B:$B,$A160,'Grid BD'!AD:AD))),"")</f>
        <v/>
      </c>
      <c r="S160" s="6"/>
      <c r="T160" s="232"/>
      <c r="U160" s="233" t="str">
        <f t="shared" si="13"/>
        <v/>
      </c>
      <c r="V160" s="233"/>
      <c r="W160" s="234" t="str">
        <f t="shared" si="10"/>
        <v/>
      </c>
      <c r="X160" s="227" t="str">
        <f>IFERROR(_xlfn.XLOOKUP($A160,'Raw Data'!$A:$A,'Raw Data'!$BA:$BA),"")</f>
        <v/>
      </c>
      <c r="Y160" s="227" t="str">
        <f>IFERROR(_xlfn.XLOOKUP($A160,'Raw Data'!$A:$A,'Raw Data'!BJ:BJ),"")</f>
        <v/>
      </c>
      <c r="Z160" s="227" t="str">
        <f>IFERROR(_xlfn.XLOOKUP($A160,'Raw Data'!$A:$A,'Raw Data'!BK:BK),"")</f>
        <v/>
      </c>
      <c r="AA160" s="227" t="str">
        <f>IFERROR(_xlfn.XLOOKUP($A160,'Raw Data'!$A:$A,'Raw Data'!BL:BL),"")</f>
        <v/>
      </c>
      <c r="AB160" s="227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27">
        <f>IFERROR(_xlfn.XLOOKUP($D160,'Modelling New'!$D:$D,'Modelling New'!$T:$T)*1000,"")</f>
        <v>91491.490277141027</v>
      </c>
      <c r="AE160" s="234">
        <f>IFERROR(_xlfn.XLOOKUP($D160,'Modelling New'!$D:$D,'Modelling New'!$O:$O),"")</f>
        <v>0.76309492836200032</v>
      </c>
      <c r="AF160" s="234">
        <f>IFERROR(_xlfn.XLOOKUP($D160,'Modelling New'!$D:$D,'Modelling New'!$W:$W),"")</f>
        <v>0.15685840194107786</v>
      </c>
      <c r="AG160" s="234">
        <f>IFERROR(_xlfn.XLOOKUP($D160,'Modelling New'!$D:$D,'Modelling New'!AE:AE),"")</f>
        <v>0.995</v>
      </c>
      <c r="AH160" s="234">
        <v>0.99750000000000005</v>
      </c>
      <c r="AI160" s="6"/>
      <c r="AJ160" s="6"/>
      <c r="AK160" s="6"/>
      <c r="AL160" s="6"/>
      <c r="AM160" s="6"/>
      <c r="AN160" s="231"/>
      <c r="AO160" s="234"/>
      <c r="AP160" s="234"/>
      <c r="AQ160" s="234"/>
      <c r="AR160" s="227">
        <f>IFERROR(_xlfn.XLOOKUP($D160,'Modelling New'!$D:$D,'Modelling New'!$N:$N),"")</f>
        <v>24.303100000000001</v>
      </c>
      <c r="AS160" s="227"/>
    </row>
    <row r="161" spans="1:45" x14ac:dyDescent="0.35">
      <c r="A161" s="226">
        <f t="shared" si="14"/>
        <v>45904</v>
      </c>
      <c r="B161" s="227">
        <f>YEAR(Daily_KPI[[#This Row],[Date]])+IF(MONTH(Daily_KPI[[#This Row],[Date]])&gt;=4,1,0)</f>
        <v>2026</v>
      </c>
      <c r="C161" s="6">
        <f>YEAR(Daily_KPI[[#This Row],[Date]])</f>
        <v>2025</v>
      </c>
      <c r="D161" s="228">
        <f>Daily_KPI[[#This Row],[Date]]-DAY(Daily_KPI[[#This Row],[Date]])+1</f>
        <v>45901</v>
      </c>
      <c r="E161" s="6">
        <f t="shared" si="11"/>
        <v>30</v>
      </c>
      <c r="F161" s="229" t="str">
        <f>IFERROR(_xlfn.XLOOKUP($A161,'Raw Data'!$A:$A,'Raw Data'!$BR:$BR),"")</f>
        <v/>
      </c>
      <c r="G161" s="230" t="str">
        <f>IFERROR(_xlfn.XLOOKUP($A161,'Raw Data'!$A:$A,'Raw Data'!$AO:$AO),"")</f>
        <v/>
      </c>
      <c r="H161" s="230"/>
      <c r="I161" s="230" t="str">
        <f>IFERROR(_xlfn.XLOOKUP($A161,'Raw Data'!$A:$A,'Raw Data'!$AR:$AR),"")</f>
        <v/>
      </c>
      <c r="J161" s="230"/>
      <c r="K161" s="230" t="str">
        <f>IFERROR(_xlfn.XLOOKUP($A161,'Raw Data'!$A:$A,'Raw Data'!$AV:$AV),"")</f>
        <v/>
      </c>
      <c r="L161" s="230" t="str">
        <f>IFERROR(_xlfn.XLOOKUP($A161,'Raw Data'!$A:$A,'Raw Data'!$AW:$AW),"")</f>
        <v/>
      </c>
      <c r="M161" s="230" t="str">
        <f>IFERROR(_xlfn.XLOOKUP($A161,'Raw Data'!$A:$A,'Raw Data'!$AX:$AX),"")</f>
        <v/>
      </c>
      <c r="N161" s="230" t="str">
        <f>IFERROR(_xlfn.XLOOKUP($A161,'Raw Data'!$A:$A,'Raw Data'!$AY:$AY),"")</f>
        <v/>
      </c>
      <c r="O161" s="231" t="str">
        <f>IFERROR(1-(SUMIF('Plant BD'!$B:$B,A161,'Plant BD'!$AE:$AE)/(AA161+SUMIF('Plant BD'!$B:$B,A161,'Plant BD'!$AE:$AE))),"")</f>
        <v/>
      </c>
      <c r="P161" s="231"/>
      <c r="Q161" s="232"/>
      <c r="R161" s="231" t="str">
        <f>IFERROR(1-(SUMIF('Grid BD'!$B:$B,$A161,'Grid BD'!$AD:$AD)/($AA161+SUMIF('Grid BD'!$B:$B,$A161,'Grid BD'!AD:AD))),"")</f>
        <v/>
      </c>
      <c r="S161" s="6"/>
      <c r="T161" s="232"/>
      <c r="U161" s="233" t="str">
        <f t="shared" si="13"/>
        <v/>
      </c>
      <c r="V161" s="233"/>
      <c r="W161" s="234" t="str">
        <f t="shared" si="10"/>
        <v/>
      </c>
      <c r="X161" s="227" t="str">
        <f>IFERROR(_xlfn.XLOOKUP($A161,'Raw Data'!$A:$A,'Raw Data'!$BA:$BA),"")</f>
        <v/>
      </c>
      <c r="Y161" s="227" t="str">
        <f>IFERROR(_xlfn.XLOOKUP($A161,'Raw Data'!$A:$A,'Raw Data'!BJ:BJ),"")</f>
        <v/>
      </c>
      <c r="Z161" s="227" t="str">
        <f>IFERROR(_xlfn.XLOOKUP($A161,'Raw Data'!$A:$A,'Raw Data'!BK:BK),"")</f>
        <v/>
      </c>
      <c r="AA161" s="227" t="str">
        <f>IFERROR(_xlfn.XLOOKUP($A161,'Raw Data'!$A:$A,'Raw Data'!BL:BL),"")</f>
        <v/>
      </c>
      <c r="AB161" s="227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27">
        <f>IFERROR(_xlfn.XLOOKUP($D161,'Modelling New'!$D:$D,'Modelling New'!$T:$T)*1000,"")</f>
        <v>91491.490277141027</v>
      </c>
      <c r="AE161" s="234">
        <f>IFERROR(_xlfn.XLOOKUP($D161,'Modelling New'!$D:$D,'Modelling New'!$O:$O),"")</f>
        <v>0.76309492836200032</v>
      </c>
      <c r="AF161" s="234">
        <f>IFERROR(_xlfn.XLOOKUP($D161,'Modelling New'!$D:$D,'Modelling New'!$W:$W),"")</f>
        <v>0.15685840194107786</v>
      </c>
      <c r="AG161" s="234">
        <f>IFERROR(_xlfn.XLOOKUP($D161,'Modelling New'!$D:$D,'Modelling New'!AE:AE),"")</f>
        <v>0.995</v>
      </c>
      <c r="AH161" s="234">
        <v>0.99750000000000005</v>
      </c>
      <c r="AI161" s="6"/>
      <c r="AJ161" s="6"/>
      <c r="AK161" s="6"/>
      <c r="AL161" s="6"/>
      <c r="AM161" s="6"/>
      <c r="AN161" s="231"/>
      <c r="AO161" s="234"/>
      <c r="AP161" s="234"/>
      <c r="AQ161" s="234"/>
      <c r="AR161" s="227">
        <f>IFERROR(_xlfn.XLOOKUP($D161,'Modelling New'!$D:$D,'Modelling New'!$N:$N),"")</f>
        <v>24.303100000000001</v>
      </c>
      <c r="AS161" s="227"/>
    </row>
    <row r="162" spans="1:45" x14ac:dyDescent="0.35">
      <c r="A162" s="226">
        <f t="shared" si="14"/>
        <v>45905</v>
      </c>
      <c r="B162" s="227">
        <f>YEAR(Daily_KPI[[#This Row],[Date]])+IF(MONTH(Daily_KPI[[#This Row],[Date]])&gt;=4,1,0)</f>
        <v>2026</v>
      </c>
      <c r="C162" s="6">
        <f>YEAR(Daily_KPI[[#This Row],[Date]])</f>
        <v>2025</v>
      </c>
      <c r="D162" s="228">
        <f>Daily_KPI[[#This Row],[Date]]-DAY(Daily_KPI[[#This Row],[Date]])+1</f>
        <v>45901</v>
      </c>
      <c r="E162" s="6">
        <f t="shared" si="11"/>
        <v>30</v>
      </c>
      <c r="F162" s="229" t="str">
        <f>IFERROR(_xlfn.XLOOKUP($A162,'Raw Data'!$A:$A,'Raw Data'!$BR:$BR),"")</f>
        <v/>
      </c>
      <c r="G162" s="230" t="str">
        <f>IFERROR(_xlfn.XLOOKUP($A162,'Raw Data'!$A:$A,'Raw Data'!$AO:$AO),"")</f>
        <v/>
      </c>
      <c r="H162" s="230"/>
      <c r="I162" s="230" t="str">
        <f>IFERROR(_xlfn.XLOOKUP($A162,'Raw Data'!$A:$A,'Raw Data'!$AR:$AR),"")</f>
        <v/>
      </c>
      <c r="J162" s="230"/>
      <c r="K162" s="230" t="str">
        <f>IFERROR(_xlfn.XLOOKUP($A162,'Raw Data'!$A:$A,'Raw Data'!$AV:$AV),"")</f>
        <v/>
      </c>
      <c r="L162" s="230" t="str">
        <f>IFERROR(_xlfn.XLOOKUP($A162,'Raw Data'!$A:$A,'Raw Data'!$AW:$AW),"")</f>
        <v/>
      </c>
      <c r="M162" s="230" t="str">
        <f>IFERROR(_xlfn.XLOOKUP($A162,'Raw Data'!$A:$A,'Raw Data'!$AX:$AX),"")</f>
        <v/>
      </c>
      <c r="N162" s="230" t="str">
        <f>IFERROR(_xlfn.XLOOKUP($A162,'Raw Data'!$A:$A,'Raw Data'!$AY:$AY),"")</f>
        <v/>
      </c>
      <c r="O162" s="231" t="str">
        <f>IFERROR(1-(SUMIF('Plant BD'!$B:$B,A162,'Plant BD'!$AE:$AE)/(AA162+SUMIF('Plant BD'!$B:$B,A162,'Plant BD'!$AE:$AE))),"")</f>
        <v/>
      </c>
      <c r="P162" s="231"/>
      <c r="Q162" s="232"/>
      <c r="R162" s="231" t="str">
        <f>IFERROR(1-(SUMIF('Grid BD'!$B:$B,$A162,'Grid BD'!$AD:$AD)/($AA162+SUMIF('Grid BD'!$B:$B,$A162,'Grid BD'!AD:AD))),"")</f>
        <v/>
      </c>
      <c r="S162" s="6"/>
      <c r="T162" s="232"/>
      <c r="U162" s="233" t="str">
        <f t="shared" si="13"/>
        <v/>
      </c>
      <c r="V162" s="233"/>
      <c r="W162" s="234" t="str">
        <f t="shared" si="10"/>
        <v/>
      </c>
      <c r="X162" s="227" t="str">
        <f>IFERROR(_xlfn.XLOOKUP($A162,'Raw Data'!$A:$A,'Raw Data'!$BA:$BA),"")</f>
        <v/>
      </c>
      <c r="Y162" s="227" t="str">
        <f>IFERROR(_xlfn.XLOOKUP($A162,'Raw Data'!$A:$A,'Raw Data'!BJ:BJ),"")</f>
        <v/>
      </c>
      <c r="Z162" s="227" t="str">
        <f>IFERROR(_xlfn.XLOOKUP($A162,'Raw Data'!$A:$A,'Raw Data'!BK:BK),"")</f>
        <v/>
      </c>
      <c r="AA162" s="227" t="str">
        <f>IFERROR(_xlfn.XLOOKUP($A162,'Raw Data'!$A:$A,'Raw Data'!BL:BL),"")</f>
        <v/>
      </c>
      <c r="AB162" s="227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27">
        <f>IFERROR(_xlfn.XLOOKUP($D162,'Modelling New'!$D:$D,'Modelling New'!$T:$T)*1000,"")</f>
        <v>91491.490277141027</v>
      </c>
      <c r="AE162" s="234">
        <f>IFERROR(_xlfn.XLOOKUP($D162,'Modelling New'!$D:$D,'Modelling New'!$O:$O),"")</f>
        <v>0.76309492836200032</v>
      </c>
      <c r="AF162" s="234">
        <f>IFERROR(_xlfn.XLOOKUP($D162,'Modelling New'!$D:$D,'Modelling New'!$W:$W),"")</f>
        <v>0.15685840194107786</v>
      </c>
      <c r="AG162" s="234">
        <f>IFERROR(_xlfn.XLOOKUP($D162,'Modelling New'!$D:$D,'Modelling New'!AE:AE),"")</f>
        <v>0.995</v>
      </c>
      <c r="AH162" s="234">
        <v>0.99750000000000005</v>
      </c>
      <c r="AI162" s="6"/>
      <c r="AJ162" s="6"/>
      <c r="AK162" s="6"/>
      <c r="AL162" s="6"/>
      <c r="AM162" s="6"/>
      <c r="AN162" s="231"/>
      <c r="AO162" s="234"/>
      <c r="AP162" s="234"/>
      <c r="AQ162" s="234"/>
      <c r="AR162" s="227">
        <f>IFERROR(_xlfn.XLOOKUP($D162,'Modelling New'!$D:$D,'Modelling New'!$N:$N),"")</f>
        <v>24.303100000000001</v>
      </c>
      <c r="AS162" s="227"/>
    </row>
    <row r="163" spans="1:45" x14ac:dyDescent="0.35">
      <c r="A163" s="226">
        <f t="shared" si="14"/>
        <v>45906</v>
      </c>
      <c r="B163" s="227">
        <f>YEAR(Daily_KPI[[#This Row],[Date]])+IF(MONTH(Daily_KPI[[#This Row],[Date]])&gt;=4,1,0)</f>
        <v>2026</v>
      </c>
      <c r="C163" s="6">
        <f>YEAR(Daily_KPI[[#This Row],[Date]])</f>
        <v>2025</v>
      </c>
      <c r="D163" s="228">
        <f>Daily_KPI[[#This Row],[Date]]-DAY(Daily_KPI[[#This Row],[Date]])+1</f>
        <v>45901</v>
      </c>
      <c r="E163" s="6">
        <f t="shared" si="11"/>
        <v>30</v>
      </c>
      <c r="F163" s="229" t="str">
        <f>IFERROR(_xlfn.XLOOKUP($A163,'Raw Data'!$A:$A,'Raw Data'!$BR:$BR),"")</f>
        <v/>
      </c>
      <c r="G163" s="230" t="str">
        <f>IFERROR(_xlfn.XLOOKUP($A163,'Raw Data'!$A:$A,'Raw Data'!$AO:$AO),"")</f>
        <v/>
      </c>
      <c r="H163" s="230"/>
      <c r="I163" s="230" t="str">
        <f>IFERROR(_xlfn.XLOOKUP($A163,'Raw Data'!$A:$A,'Raw Data'!$AR:$AR),"")</f>
        <v/>
      </c>
      <c r="J163" s="230"/>
      <c r="K163" s="230" t="str">
        <f>IFERROR(_xlfn.XLOOKUP($A163,'Raw Data'!$A:$A,'Raw Data'!$AV:$AV),"")</f>
        <v/>
      </c>
      <c r="L163" s="230" t="str">
        <f>IFERROR(_xlfn.XLOOKUP($A163,'Raw Data'!$A:$A,'Raw Data'!$AW:$AW),"")</f>
        <v/>
      </c>
      <c r="M163" s="230" t="str">
        <f>IFERROR(_xlfn.XLOOKUP($A163,'Raw Data'!$A:$A,'Raw Data'!$AX:$AX),"")</f>
        <v/>
      </c>
      <c r="N163" s="230" t="str">
        <f>IFERROR(_xlfn.XLOOKUP($A163,'Raw Data'!$A:$A,'Raw Data'!$AY:$AY),"")</f>
        <v/>
      </c>
      <c r="O163" s="231" t="str">
        <f>IFERROR(1-(SUMIF('Plant BD'!$B:$B,A163,'Plant BD'!$AE:$AE)/(AA163+SUMIF('Plant BD'!$B:$B,A163,'Plant BD'!$AE:$AE))),"")</f>
        <v/>
      </c>
      <c r="P163" s="231"/>
      <c r="Q163" s="232"/>
      <c r="R163" s="231" t="str">
        <f>IFERROR(1-(SUMIF('Grid BD'!$B:$B,$A163,'Grid BD'!$AD:$AD)/($AA163+SUMIF('Grid BD'!$B:$B,$A163,'Grid BD'!AD:AD))),"")</f>
        <v/>
      </c>
      <c r="S163" s="6"/>
      <c r="T163" s="232"/>
      <c r="U163" s="233" t="str">
        <f t="shared" si="13"/>
        <v/>
      </c>
      <c r="V163" s="233"/>
      <c r="W163" s="234" t="str">
        <f t="shared" si="10"/>
        <v/>
      </c>
      <c r="X163" s="227" t="str">
        <f>IFERROR(_xlfn.XLOOKUP($A163,'Raw Data'!$A:$A,'Raw Data'!$BA:$BA),"")</f>
        <v/>
      </c>
      <c r="Y163" s="227" t="str">
        <f>IFERROR(_xlfn.XLOOKUP($A163,'Raw Data'!$A:$A,'Raw Data'!BJ:BJ),"")</f>
        <v/>
      </c>
      <c r="Z163" s="227" t="str">
        <f>IFERROR(_xlfn.XLOOKUP($A163,'Raw Data'!$A:$A,'Raw Data'!BK:BK),"")</f>
        <v/>
      </c>
      <c r="AA163" s="227" t="str">
        <f>IFERROR(_xlfn.XLOOKUP($A163,'Raw Data'!$A:$A,'Raw Data'!BL:BL),"")</f>
        <v/>
      </c>
      <c r="AB163" s="227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27">
        <f>IFERROR(_xlfn.XLOOKUP($D163,'Modelling New'!$D:$D,'Modelling New'!$T:$T)*1000,"")</f>
        <v>91491.490277141027</v>
      </c>
      <c r="AE163" s="234">
        <f>IFERROR(_xlfn.XLOOKUP($D163,'Modelling New'!$D:$D,'Modelling New'!$O:$O),"")</f>
        <v>0.76309492836200032</v>
      </c>
      <c r="AF163" s="234">
        <f>IFERROR(_xlfn.XLOOKUP($D163,'Modelling New'!$D:$D,'Modelling New'!$W:$W),"")</f>
        <v>0.15685840194107786</v>
      </c>
      <c r="AG163" s="234">
        <f>IFERROR(_xlfn.XLOOKUP($D163,'Modelling New'!$D:$D,'Modelling New'!AE:AE),"")</f>
        <v>0.995</v>
      </c>
      <c r="AH163" s="234">
        <v>0.99750000000000005</v>
      </c>
      <c r="AI163" s="6"/>
      <c r="AJ163" s="6"/>
      <c r="AK163" s="6"/>
      <c r="AL163" s="6"/>
      <c r="AM163" s="6"/>
      <c r="AN163" s="231"/>
      <c r="AO163" s="234"/>
      <c r="AP163" s="234"/>
      <c r="AQ163" s="234"/>
      <c r="AR163" s="227">
        <f>IFERROR(_xlfn.XLOOKUP($D163,'Modelling New'!$D:$D,'Modelling New'!$N:$N),"")</f>
        <v>24.303100000000001</v>
      </c>
      <c r="AS163" s="227"/>
    </row>
    <row r="164" spans="1:45" x14ac:dyDescent="0.35">
      <c r="A164" s="226">
        <f t="shared" si="14"/>
        <v>45907</v>
      </c>
      <c r="B164" s="227">
        <f>YEAR(Daily_KPI[[#This Row],[Date]])+IF(MONTH(Daily_KPI[[#This Row],[Date]])&gt;=4,1,0)</f>
        <v>2026</v>
      </c>
      <c r="C164" s="6">
        <f>YEAR(Daily_KPI[[#This Row],[Date]])</f>
        <v>2025</v>
      </c>
      <c r="D164" s="228">
        <f>Daily_KPI[[#This Row],[Date]]-DAY(Daily_KPI[[#This Row],[Date]])+1</f>
        <v>45901</v>
      </c>
      <c r="E164" s="6">
        <f t="shared" si="11"/>
        <v>30</v>
      </c>
      <c r="F164" s="229" t="str">
        <f>IFERROR(_xlfn.XLOOKUP($A164,'Raw Data'!$A:$A,'Raw Data'!$BR:$BR),"")</f>
        <v/>
      </c>
      <c r="G164" s="230" t="str">
        <f>IFERROR(_xlfn.XLOOKUP($A164,'Raw Data'!$A:$A,'Raw Data'!$AO:$AO),"")</f>
        <v/>
      </c>
      <c r="H164" s="230"/>
      <c r="I164" s="230" t="str">
        <f>IFERROR(_xlfn.XLOOKUP($A164,'Raw Data'!$A:$A,'Raw Data'!$AR:$AR),"")</f>
        <v/>
      </c>
      <c r="J164" s="230"/>
      <c r="K164" s="230" t="str">
        <f>IFERROR(_xlfn.XLOOKUP($A164,'Raw Data'!$A:$A,'Raw Data'!$AV:$AV),"")</f>
        <v/>
      </c>
      <c r="L164" s="230" t="str">
        <f>IFERROR(_xlfn.XLOOKUP($A164,'Raw Data'!$A:$A,'Raw Data'!$AW:$AW),"")</f>
        <v/>
      </c>
      <c r="M164" s="230" t="str">
        <f>IFERROR(_xlfn.XLOOKUP($A164,'Raw Data'!$A:$A,'Raw Data'!$AX:$AX),"")</f>
        <v/>
      </c>
      <c r="N164" s="230" t="str">
        <f>IFERROR(_xlfn.XLOOKUP($A164,'Raw Data'!$A:$A,'Raw Data'!$AY:$AY),"")</f>
        <v/>
      </c>
      <c r="O164" s="231" t="str">
        <f>IFERROR(1-(SUMIF('Plant BD'!$B:$B,A164,'Plant BD'!$AE:$AE)/(AA164+SUMIF('Plant BD'!$B:$B,A164,'Plant BD'!$AE:$AE))),"")</f>
        <v/>
      </c>
      <c r="P164" s="231"/>
      <c r="Q164" s="232"/>
      <c r="R164" s="231" t="str">
        <f>IFERROR(1-(SUMIF('Grid BD'!$B:$B,$A164,'Grid BD'!$AD:$AD)/($AA164+SUMIF('Grid BD'!$B:$B,$A164,'Grid BD'!AD:AD))),"")</f>
        <v/>
      </c>
      <c r="S164" s="6"/>
      <c r="T164" s="232"/>
      <c r="U164" s="233" t="str">
        <f t="shared" si="13"/>
        <v/>
      </c>
      <c r="V164" s="233"/>
      <c r="W164" s="234" t="str">
        <f t="shared" si="10"/>
        <v/>
      </c>
      <c r="X164" s="227" t="str">
        <f>IFERROR(_xlfn.XLOOKUP($A164,'Raw Data'!$A:$A,'Raw Data'!$BA:$BA),"")</f>
        <v/>
      </c>
      <c r="Y164" s="227" t="str">
        <f>IFERROR(_xlfn.XLOOKUP($A164,'Raw Data'!$A:$A,'Raw Data'!BJ:BJ),"")</f>
        <v/>
      </c>
      <c r="Z164" s="227" t="str">
        <f>IFERROR(_xlfn.XLOOKUP($A164,'Raw Data'!$A:$A,'Raw Data'!BK:BK),"")</f>
        <v/>
      </c>
      <c r="AA164" s="227" t="str">
        <f>IFERROR(_xlfn.XLOOKUP($A164,'Raw Data'!$A:$A,'Raw Data'!BL:BL),"")</f>
        <v/>
      </c>
      <c r="AB164" s="227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27">
        <f>IFERROR(_xlfn.XLOOKUP($D164,'Modelling New'!$D:$D,'Modelling New'!$T:$T)*1000,"")</f>
        <v>91491.490277141027</v>
      </c>
      <c r="AE164" s="234">
        <f>IFERROR(_xlfn.XLOOKUP($D164,'Modelling New'!$D:$D,'Modelling New'!$O:$O),"")</f>
        <v>0.76309492836200032</v>
      </c>
      <c r="AF164" s="234">
        <f>IFERROR(_xlfn.XLOOKUP($D164,'Modelling New'!$D:$D,'Modelling New'!$W:$W),"")</f>
        <v>0.15685840194107786</v>
      </c>
      <c r="AG164" s="234">
        <f>IFERROR(_xlfn.XLOOKUP($D164,'Modelling New'!$D:$D,'Modelling New'!AE:AE),"")</f>
        <v>0.995</v>
      </c>
      <c r="AH164" s="234">
        <v>0.99750000000000005</v>
      </c>
      <c r="AI164" s="6"/>
      <c r="AJ164" s="6"/>
      <c r="AK164" s="6"/>
      <c r="AL164" s="6"/>
      <c r="AM164" s="6"/>
      <c r="AN164" s="231"/>
      <c r="AO164" s="234"/>
      <c r="AP164" s="234"/>
      <c r="AQ164" s="234"/>
      <c r="AR164" s="227">
        <f>IFERROR(_xlfn.XLOOKUP($D164,'Modelling New'!$D:$D,'Modelling New'!$N:$N),"")</f>
        <v>24.303100000000001</v>
      </c>
      <c r="AS164" s="227"/>
    </row>
    <row r="165" spans="1:45" x14ac:dyDescent="0.35">
      <c r="A165" s="226">
        <f t="shared" si="14"/>
        <v>45908</v>
      </c>
      <c r="B165" s="227">
        <f>YEAR(Daily_KPI[[#This Row],[Date]])+IF(MONTH(Daily_KPI[[#This Row],[Date]])&gt;=4,1,0)</f>
        <v>2026</v>
      </c>
      <c r="C165" s="6">
        <f>YEAR(Daily_KPI[[#This Row],[Date]])</f>
        <v>2025</v>
      </c>
      <c r="D165" s="228">
        <f>Daily_KPI[[#This Row],[Date]]-DAY(Daily_KPI[[#This Row],[Date]])+1</f>
        <v>45901</v>
      </c>
      <c r="E165" s="6">
        <f t="shared" si="11"/>
        <v>30</v>
      </c>
      <c r="F165" s="229" t="str">
        <f>IFERROR(_xlfn.XLOOKUP($A165,'Raw Data'!$A:$A,'Raw Data'!$BR:$BR),"")</f>
        <v/>
      </c>
      <c r="G165" s="230" t="str">
        <f>IFERROR(_xlfn.XLOOKUP($A165,'Raw Data'!$A:$A,'Raw Data'!$AO:$AO),"")</f>
        <v/>
      </c>
      <c r="H165" s="230"/>
      <c r="I165" s="230" t="str">
        <f>IFERROR(_xlfn.XLOOKUP($A165,'Raw Data'!$A:$A,'Raw Data'!$AR:$AR),"")</f>
        <v/>
      </c>
      <c r="J165" s="230"/>
      <c r="K165" s="230" t="str">
        <f>IFERROR(_xlfn.XLOOKUP($A165,'Raw Data'!$A:$A,'Raw Data'!$AV:$AV),"")</f>
        <v/>
      </c>
      <c r="L165" s="230" t="str">
        <f>IFERROR(_xlfn.XLOOKUP($A165,'Raw Data'!$A:$A,'Raw Data'!$AW:$AW),"")</f>
        <v/>
      </c>
      <c r="M165" s="230" t="str">
        <f>IFERROR(_xlfn.XLOOKUP($A165,'Raw Data'!$A:$A,'Raw Data'!$AX:$AX),"")</f>
        <v/>
      </c>
      <c r="N165" s="230" t="str">
        <f>IFERROR(_xlfn.XLOOKUP($A165,'Raw Data'!$A:$A,'Raw Data'!$AY:$AY),"")</f>
        <v/>
      </c>
      <c r="O165" s="231" t="str">
        <f>IFERROR(1-(SUMIF('Plant BD'!$B:$B,A165,'Plant BD'!$AE:$AE)/(AA165+SUMIF('Plant BD'!$B:$B,A165,'Plant BD'!$AE:$AE))),"")</f>
        <v/>
      </c>
      <c r="P165" s="231"/>
      <c r="Q165" s="232"/>
      <c r="R165" s="231" t="str">
        <f>IFERROR(1-(SUMIF('Grid BD'!$B:$B,$A165,'Grid BD'!$AD:$AD)/($AA165+SUMIF('Grid BD'!$B:$B,$A165,'Grid BD'!AD:AD))),"")</f>
        <v/>
      </c>
      <c r="S165" s="6"/>
      <c r="T165" s="232"/>
      <c r="U165" s="233" t="str">
        <f t="shared" si="13"/>
        <v/>
      </c>
      <c r="V165" s="233"/>
      <c r="W165" s="234" t="str">
        <f t="shared" si="10"/>
        <v/>
      </c>
      <c r="X165" s="227" t="str">
        <f>IFERROR(_xlfn.XLOOKUP($A165,'Raw Data'!$A:$A,'Raw Data'!$BA:$BA),"")</f>
        <v/>
      </c>
      <c r="Y165" s="227" t="str">
        <f>IFERROR(_xlfn.XLOOKUP($A165,'Raw Data'!$A:$A,'Raw Data'!BJ:BJ),"")</f>
        <v/>
      </c>
      <c r="Z165" s="227" t="str">
        <f>IFERROR(_xlfn.XLOOKUP($A165,'Raw Data'!$A:$A,'Raw Data'!BK:BK),"")</f>
        <v/>
      </c>
      <c r="AA165" s="227" t="str">
        <f>IFERROR(_xlfn.XLOOKUP($A165,'Raw Data'!$A:$A,'Raw Data'!BL:BL),"")</f>
        <v/>
      </c>
      <c r="AB165" s="227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27">
        <f>IFERROR(_xlfn.XLOOKUP($D165,'Modelling New'!$D:$D,'Modelling New'!$T:$T)*1000,"")</f>
        <v>91491.490277141027</v>
      </c>
      <c r="AE165" s="234">
        <f>IFERROR(_xlfn.XLOOKUP($D165,'Modelling New'!$D:$D,'Modelling New'!$O:$O),"")</f>
        <v>0.76309492836200032</v>
      </c>
      <c r="AF165" s="234">
        <f>IFERROR(_xlfn.XLOOKUP($D165,'Modelling New'!$D:$D,'Modelling New'!$W:$W),"")</f>
        <v>0.15685840194107786</v>
      </c>
      <c r="AG165" s="234">
        <f>IFERROR(_xlfn.XLOOKUP($D165,'Modelling New'!$D:$D,'Modelling New'!AE:AE),"")</f>
        <v>0.995</v>
      </c>
      <c r="AH165" s="234">
        <v>0.99750000000000005</v>
      </c>
      <c r="AI165" s="6"/>
      <c r="AJ165" s="6"/>
      <c r="AK165" s="6"/>
      <c r="AL165" s="6"/>
      <c r="AM165" s="6"/>
      <c r="AN165" s="231"/>
      <c r="AO165" s="234"/>
      <c r="AP165" s="234"/>
      <c r="AQ165" s="234"/>
      <c r="AR165" s="227">
        <f>IFERROR(_xlfn.XLOOKUP($D165,'Modelling New'!$D:$D,'Modelling New'!$N:$N),"")</f>
        <v>24.303100000000001</v>
      </c>
      <c r="AS165" s="227"/>
    </row>
    <row r="166" spans="1:45" x14ac:dyDescent="0.35">
      <c r="A166" s="226">
        <f t="shared" si="14"/>
        <v>45909</v>
      </c>
      <c r="B166" s="227">
        <f>YEAR(Daily_KPI[[#This Row],[Date]])+IF(MONTH(Daily_KPI[[#This Row],[Date]])&gt;=4,1,0)</f>
        <v>2026</v>
      </c>
      <c r="C166" s="6">
        <f>YEAR(Daily_KPI[[#This Row],[Date]])</f>
        <v>2025</v>
      </c>
      <c r="D166" s="228">
        <f>Daily_KPI[[#This Row],[Date]]-DAY(Daily_KPI[[#This Row],[Date]])+1</f>
        <v>45901</v>
      </c>
      <c r="E166" s="6">
        <f t="shared" si="11"/>
        <v>30</v>
      </c>
      <c r="F166" s="229" t="str">
        <f>IFERROR(_xlfn.XLOOKUP($A166,'Raw Data'!$A:$A,'Raw Data'!$BR:$BR),"")</f>
        <v/>
      </c>
      <c r="G166" s="230" t="str">
        <f>IFERROR(_xlfn.XLOOKUP($A166,'Raw Data'!$A:$A,'Raw Data'!$AO:$AO),"")</f>
        <v/>
      </c>
      <c r="H166" s="230"/>
      <c r="I166" s="230" t="str">
        <f>IFERROR(_xlfn.XLOOKUP($A166,'Raw Data'!$A:$A,'Raw Data'!$AR:$AR),"")</f>
        <v/>
      </c>
      <c r="J166" s="230"/>
      <c r="K166" s="230" t="str">
        <f>IFERROR(_xlfn.XLOOKUP($A166,'Raw Data'!$A:$A,'Raw Data'!$AV:$AV),"")</f>
        <v/>
      </c>
      <c r="L166" s="230" t="str">
        <f>IFERROR(_xlfn.XLOOKUP($A166,'Raw Data'!$A:$A,'Raw Data'!$AW:$AW),"")</f>
        <v/>
      </c>
      <c r="M166" s="230" t="str">
        <f>IFERROR(_xlfn.XLOOKUP($A166,'Raw Data'!$A:$A,'Raw Data'!$AX:$AX),"")</f>
        <v/>
      </c>
      <c r="N166" s="230" t="str">
        <f>IFERROR(_xlfn.XLOOKUP($A166,'Raw Data'!$A:$A,'Raw Data'!$AY:$AY),"")</f>
        <v/>
      </c>
      <c r="O166" s="231" t="str">
        <f>IFERROR(1-(SUMIF('Plant BD'!$B:$B,A166,'Plant BD'!$AE:$AE)/(AA166+SUMIF('Plant BD'!$B:$B,A166,'Plant BD'!$AE:$AE))),"")</f>
        <v/>
      </c>
      <c r="P166" s="231"/>
      <c r="Q166" s="232"/>
      <c r="R166" s="231" t="str">
        <f>IFERROR(1-(SUMIF('Grid BD'!$B:$B,$A166,'Grid BD'!$AD:$AD)/($AA166+SUMIF('Grid BD'!$B:$B,$A166,'Grid BD'!AD:AD))),"")</f>
        <v/>
      </c>
      <c r="S166" s="6"/>
      <c r="T166" s="232"/>
      <c r="U166" s="233" t="str">
        <f t="shared" si="13"/>
        <v/>
      </c>
      <c r="V166" s="233"/>
      <c r="W166" s="234" t="str">
        <f t="shared" si="10"/>
        <v/>
      </c>
      <c r="X166" s="227" t="str">
        <f>IFERROR(_xlfn.XLOOKUP($A166,'Raw Data'!$A:$A,'Raw Data'!$BA:$BA),"")</f>
        <v/>
      </c>
      <c r="Y166" s="227" t="str">
        <f>IFERROR(_xlfn.XLOOKUP($A166,'Raw Data'!$A:$A,'Raw Data'!BJ:BJ),"")</f>
        <v/>
      </c>
      <c r="Z166" s="227" t="str">
        <f>IFERROR(_xlfn.XLOOKUP($A166,'Raw Data'!$A:$A,'Raw Data'!BK:BK),"")</f>
        <v/>
      </c>
      <c r="AA166" s="227" t="str">
        <f>IFERROR(_xlfn.XLOOKUP($A166,'Raw Data'!$A:$A,'Raw Data'!BL:BL),"")</f>
        <v/>
      </c>
      <c r="AB166" s="227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27">
        <f>IFERROR(_xlfn.XLOOKUP($D166,'Modelling New'!$D:$D,'Modelling New'!$T:$T)*1000,"")</f>
        <v>91491.490277141027</v>
      </c>
      <c r="AE166" s="234">
        <f>IFERROR(_xlfn.XLOOKUP($D166,'Modelling New'!$D:$D,'Modelling New'!$O:$O),"")</f>
        <v>0.76309492836200032</v>
      </c>
      <c r="AF166" s="234">
        <f>IFERROR(_xlfn.XLOOKUP($D166,'Modelling New'!$D:$D,'Modelling New'!$W:$W),"")</f>
        <v>0.15685840194107786</v>
      </c>
      <c r="AG166" s="234">
        <f>IFERROR(_xlfn.XLOOKUP($D166,'Modelling New'!$D:$D,'Modelling New'!AE:AE),"")</f>
        <v>0.995</v>
      </c>
      <c r="AH166" s="234">
        <v>0.99750000000000005</v>
      </c>
      <c r="AI166" s="6"/>
      <c r="AJ166" s="6"/>
      <c r="AK166" s="6"/>
      <c r="AL166" s="6"/>
      <c r="AM166" s="6"/>
      <c r="AN166" s="231"/>
      <c r="AO166" s="234"/>
      <c r="AP166" s="234"/>
      <c r="AQ166" s="234"/>
      <c r="AR166" s="227">
        <f>IFERROR(_xlfn.XLOOKUP($D166,'Modelling New'!$D:$D,'Modelling New'!$N:$N),"")</f>
        <v>24.303100000000001</v>
      </c>
      <c r="AS166" s="227"/>
    </row>
    <row r="167" spans="1:45" x14ac:dyDescent="0.35">
      <c r="A167" s="226">
        <f t="shared" si="14"/>
        <v>45910</v>
      </c>
      <c r="B167" s="227">
        <f>YEAR(Daily_KPI[[#This Row],[Date]])+IF(MONTH(Daily_KPI[[#This Row],[Date]])&gt;=4,1,0)</f>
        <v>2026</v>
      </c>
      <c r="C167" s="6">
        <f>YEAR(Daily_KPI[[#This Row],[Date]])</f>
        <v>2025</v>
      </c>
      <c r="D167" s="228">
        <f>Daily_KPI[[#This Row],[Date]]-DAY(Daily_KPI[[#This Row],[Date]])+1</f>
        <v>45901</v>
      </c>
      <c r="E167" s="6">
        <f t="shared" si="11"/>
        <v>30</v>
      </c>
      <c r="F167" s="229" t="str">
        <f>IFERROR(_xlfn.XLOOKUP($A167,'Raw Data'!$A:$A,'Raw Data'!$BR:$BR),"")</f>
        <v/>
      </c>
      <c r="G167" s="230" t="str">
        <f>IFERROR(_xlfn.XLOOKUP($A167,'Raw Data'!$A:$A,'Raw Data'!$AO:$AO),"")</f>
        <v/>
      </c>
      <c r="H167" s="230"/>
      <c r="I167" s="230" t="str">
        <f>IFERROR(_xlfn.XLOOKUP($A167,'Raw Data'!$A:$A,'Raw Data'!$AR:$AR),"")</f>
        <v/>
      </c>
      <c r="J167" s="230"/>
      <c r="K167" s="230" t="str">
        <f>IFERROR(_xlfn.XLOOKUP($A167,'Raw Data'!$A:$A,'Raw Data'!$AV:$AV),"")</f>
        <v/>
      </c>
      <c r="L167" s="230" t="str">
        <f>IFERROR(_xlfn.XLOOKUP($A167,'Raw Data'!$A:$A,'Raw Data'!$AW:$AW),"")</f>
        <v/>
      </c>
      <c r="M167" s="230" t="str">
        <f>IFERROR(_xlfn.XLOOKUP($A167,'Raw Data'!$A:$A,'Raw Data'!$AX:$AX),"")</f>
        <v/>
      </c>
      <c r="N167" s="230" t="str">
        <f>IFERROR(_xlfn.XLOOKUP($A167,'Raw Data'!$A:$A,'Raw Data'!$AY:$AY),"")</f>
        <v/>
      </c>
      <c r="O167" s="231" t="str">
        <f>IFERROR(1-(SUMIF('Plant BD'!$B:$B,A167,'Plant BD'!$AE:$AE)/(AA167+SUMIF('Plant BD'!$B:$B,A167,'Plant BD'!$AE:$AE))),"")</f>
        <v/>
      </c>
      <c r="P167" s="231"/>
      <c r="Q167" s="232"/>
      <c r="R167" s="231" t="str">
        <f>IFERROR(1-(SUMIF('Grid BD'!$B:$B,$A167,'Grid BD'!$AD:$AD)/($AA167+SUMIF('Grid BD'!$B:$B,$A167,'Grid BD'!AD:AD))),"")</f>
        <v/>
      </c>
      <c r="S167" s="6"/>
      <c r="T167" s="232"/>
      <c r="U167" s="233" t="str">
        <f t="shared" si="13"/>
        <v/>
      </c>
      <c r="V167" s="233"/>
      <c r="W167" s="234" t="str">
        <f t="shared" si="10"/>
        <v/>
      </c>
      <c r="X167" s="227" t="str">
        <f>IFERROR(_xlfn.XLOOKUP($A167,'Raw Data'!$A:$A,'Raw Data'!$BA:$BA),"")</f>
        <v/>
      </c>
      <c r="Y167" s="227" t="str">
        <f>IFERROR(_xlfn.XLOOKUP($A167,'Raw Data'!$A:$A,'Raw Data'!BJ:BJ),"")</f>
        <v/>
      </c>
      <c r="Z167" s="227" t="str">
        <f>IFERROR(_xlfn.XLOOKUP($A167,'Raw Data'!$A:$A,'Raw Data'!BK:BK),"")</f>
        <v/>
      </c>
      <c r="AA167" s="227" t="str">
        <f>IFERROR(_xlfn.XLOOKUP($A167,'Raw Data'!$A:$A,'Raw Data'!BL:BL),"")</f>
        <v/>
      </c>
      <c r="AB167" s="227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27">
        <f>IFERROR(_xlfn.XLOOKUP($D167,'Modelling New'!$D:$D,'Modelling New'!$T:$T)*1000,"")</f>
        <v>91491.490277141027</v>
      </c>
      <c r="AE167" s="234">
        <f>IFERROR(_xlfn.XLOOKUP($D167,'Modelling New'!$D:$D,'Modelling New'!$O:$O),"")</f>
        <v>0.76309492836200032</v>
      </c>
      <c r="AF167" s="234">
        <f>IFERROR(_xlfn.XLOOKUP($D167,'Modelling New'!$D:$D,'Modelling New'!$W:$W),"")</f>
        <v>0.15685840194107786</v>
      </c>
      <c r="AG167" s="234">
        <f>IFERROR(_xlfn.XLOOKUP($D167,'Modelling New'!$D:$D,'Modelling New'!AE:AE),"")</f>
        <v>0.995</v>
      </c>
      <c r="AH167" s="234">
        <v>0.99750000000000005</v>
      </c>
      <c r="AI167" s="6"/>
      <c r="AJ167" s="6"/>
      <c r="AK167" s="6"/>
      <c r="AL167" s="6"/>
      <c r="AM167" s="6"/>
      <c r="AN167" s="231"/>
      <c r="AO167" s="234"/>
      <c r="AP167" s="234"/>
      <c r="AQ167" s="234"/>
      <c r="AR167" s="227">
        <f>IFERROR(_xlfn.XLOOKUP($D167,'Modelling New'!$D:$D,'Modelling New'!$N:$N),"")</f>
        <v>24.303100000000001</v>
      </c>
      <c r="AS167" s="227"/>
    </row>
    <row r="168" spans="1:45" x14ac:dyDescent="0.35">
      <c r="A168" s="226">
        <f t="shared" si="14"/>
        <v>45911</v>
      </c>
      <c r="B168" s="227">
        <f>YEAR(Daily_KPI[[#This Row],[Date]])+IF(MONTH(Daily_KPI[[#This Row],[Date]])&gt;=4,1,0)</f>
        <v>2026</v>
      </c>
      <c r="C168" s="6">
        <f>YEAR(Daily_KPI[[#This Row],[Date]])</f>
        <v>2025</v>
      </c>
      <c r="D168" s="228">
        <f>Daily_KPI[[#This Row],[Date]]-DAY(Daily_KPI[[#This Row],[Date]])+1</f>
        <v>45901</v>
      </c>
      <c r="E168" s="6">
        <f t="shared" si="11"/>
        <v>30</v>
      </c>
      <c r="F168" s="229" t="str">
        <f>IFERROR(_xlfn.XLOOKUP($A168,'Raw Data'!$A:$A,'Raw Data'!$BR:$BR),"")</f>
        <v/>
      </c>
      <c r="G168" s="230" t="str">
        <f>IFERROR(_xlfn.XLOOKUP($A168,'Raw Data'!$A:$A,'Raw Data'!$AO:$AO),"")</f>
        <v/>
      </c>
      <c r="H168" s="230"/>
      <c r="I168" s="230" t="str">
        <f>IFERROR(_xlfn.XLOOKUP($A168,'Raw Data'!$A:$A,'Raw Data'!$AR:$AR),"")</f>
        <v/>
      </c>
      <c r="J168" s="230"/>
      <c r="K168" s="230" t="str">
        <f>IFERROR(_xlfn.XLOOKUP($A168,'Raw Data'!$A:$A,'Raw Data'!$AV:$AV),"")</f>
        <v/>
      </c>
      <c r="L168" s="230" t="str">
        <f>IFERROR(_xlfn.XLOOKUP($A168,'Raw Data'!$A:$A,'Raw Data'!$AW:$AW),"")</f>
        <v/>
      </c>
      <c r="M168" s="230" t="str">
        <f>IFERROR(_xlfn.XLOOKUP($A168,'Raw Data'!$A:$A,'Raw Data'!$AX:$AX),"")</f>
        <v/>
      </c>
      <c r="N168" s="230" t="str">
        <f>IFERROR(_xlfn.XLOOKUP($A168,'Raw Data'!$A:$A,'Raw Data'!$AY:$AY),"")</f>
        <v/>
      </c>
      <c r="O168" s="231" t="str">
        <f>IFERROR(1-(SUMIF('Plant BD'!$B:$B,A168,'Plant BD'!$AE:$AE)/(AA168+SUMIF('Plant BD'!$B:$B,A168,'Plant BD'!$AE:$AE))),"")</f>
        <v/>
      </c>
      <c r="P168" s="231"/>
      <c r="Q168" s="232"/>
      <c r="R168" s="231" t="str">
        <f>IFERROR(1-(SUMIF('Grid BD'!$B:$B,$A168,'Grid BD'!$AD:$AD)/($AA168+SUMIF('Grid BD'!$B:$B,$A168,'Grid BD'!AD:AD))),"")</f>
        <v/>
      </c>
      <c r="S168" s="6"/>
      <c r="T168" s="232"/>
      <c r="U168" s="233" t="str">
        <f t="shared" si="13"/>
        <v/>
      </c>
      <c r="V168" s="233"/>
      <c r="W168" s="234" t="str">
        <f t="shared" si="10"/>
        <v/>
      </c>
      <c r="X168" s="227" t="str">
        <f>IFERROR(_xlfn.XLOOKUP($A168,'Raw Data'!$A:$A,'Raw Data'!$BA:$BA),"")</f>
        <v/>
      </c>
      <c r="Y168" s="227" t="str">
        <f>IFERROR(_xlfn.XLOOKUP($A168,'Raw Data'!$A:$A,'Raw Data'!BJ:BJ),"")</f>
        <v/>
      </c>
      <c r="Z168" s="227" t="str">
        <f>IFERROR(_xlfn.XLOOKUP($A168,'Raw Data'!$A:$A,'Raw Data'!BK:BK),"")</f>
        <v/>
      </c>
      <c r="AA168" s="227" t="str">
        <f>IFERROR(_xlfn.XLOOKUP($A168,'Raw Data'!$A:$A,'Raw Data'!BL:BL),"")</f>
        <v/>
      </c>
      <c r="AB168" s="227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27">
        <f>IFERROR(_xlfn.XLOOKUP($D168,'Modelling New'!$D:$D,'Modelling New'!$T:$T)*1000,"")</f>
        <v>91491.490277141027</v>
      </c>
      <c r="AE168" s="234">
        <f>IFERROR(_xlfn.XLOOKUP($D168,'Modelling New'!$D:$D,'Modelling New'!$O:$O),"")</f>
        <v>0.76309492836200032</v>
      </c>
      <c r="AF168" s="234">
        <f>IFERROR(_xlfn.XLOOKUP($D168,'Modelling New'!$D:$D,'Modelling New'!$W:$W),"")</f>
        <v>0.15685840194107786</v>
      </c>
      <c r="AG168" s="234">
        <f>IFERROR(_xlfn.XLOOKUP($D168,'Modelling New'!$D:$D,'Modelling New'!AE:AE),"")</f>
        <v>0.995</v>
      </c>
      <c r="AH168" s="234">
        <v>0.99750000000000005</v>
      </c>
      <c r="AI168" s="6"/>
      <c r="AJ168" s="6"/>
      <c r="AK168" s="6"/>
      <c r="AL168" s="6"/>
      <c r="AM168" s="6"/>
      <c r="AN168" s="231"/>
      <c r="AO168" s="234"/>
      <c r="AP168" s="234"/>
      <c r="AQ168" s="234"/>
      <c r="AR168" s="227">
        <f>IFERROR(_xlfn.XLOOKUP($D168,'Modelling New'!$D:$D,'Modelling New'!$N:$N),"")</f>
        <v>24.303100000000001</v>
      </c>
      <c r="AS168" s="227"/>
    </row>
    <row r="169" spans="1:45" x14ac:dyDescent="0.35">
      <c r="A169" s="226">
        <f t="shared" si="14"/>
        <v>45912</v>
      </c>
      <c r="B169" s="227">
        <f>YEAR(Daily_KPI[[#This Row],[Date]])+IF(MONTH(Daily_KPI[[#This Row],[Date]])&gt;=4,1,0)</f>
        <v>2026</v>
      </c>
      <c r="C169" s="6">
        <f>YEAR(Daily_KPI[[#This Row],[Date]])</f>
        <v>2025</v>
      </c>
      <c r="D169" s="228">
        <f>Daily_KPI[[#This Row],[Date]]-DAY(Daily_KPI[[#This Row],[Date]])+1</f>
        <v>45901</v>
      </c>
      <c r="E169" s="6">
        <f t="shared" si="11"/>
        <v>30</v>
      </c>
      <c r="F169" s="229" t="str">
        <f>IFERROR(_xlfn.XLOOKUP($A169,'Raw Data'!$A:$A,'Raw Data'!$BR:$BR),"")</f>
        <v/>
      </c>
      <c r="G169" s="230" t="str">
        <f>IFERROR(_xlfn.XLOOKUP($A169,'Raw Data'!$A:$A,'Raw Data'!$AO:$AO),"")</f>
        <v/>
      </c>
      <c r="H169" s="230"/>
      <c r="I169" s="230" t="str">
        <f>IFERROR(_xlfn.XLOOKUP($A169,'Raw Data'!$A:$A,'Raw Data'!$AR:$AR),"")</f>
        <v/>
      </c>
      <c r="J169" s="230"/>
      <c r="K169" s="230" t="str">
        <f>IFERROR(_xlfn.XLOOKUP($A169,'Raw Data'!$A:$A,'Raw Data'!$AV:$AV),"")</f>
        <v/>
      </c>
      <c r="L169" s="230" t="str">
        <f>IFERROR(_xlfn.XLOOKUP($A169,'Raw Data'!$A:$A,'Raw Data'!$AW:$AW),"")</f>
        <v/>
      </c>
      <c r="M169" s="230" t="str">
        <f>IFERROR(_xlfn.XLOOKUP($A169,'Raw Data'!$A:$A,'Raw Data'!$AX:$AX),"")</f>
        <v/>
      </c>
      <c r="N169" s="230" t="str">
        <f>IFERROR(_xlfn.XLOOKUP($A169,'Raw Data'!$A:$A,'Raw Data'!$AY:$AY),"")</f>
        <v/>
      </c>
      <c r="O169" s="231" t="str">
        <f>IFERROR(1-(SUMIF('Plant BD'!$B:$B,A169,'Plant BD'!$AE:$AE)/(AA169+SUMIF('Plant BD'!$B:$B,A169,'Plant BD'!$AE:$AE))),"")</f>
        <v/>
      </c>
      <c r="P169" s="231"/>
      <c r="Q169" s="232"/>
      <c r="R169" s="231" t="str">
        <f>IFERROR(1-(SUMIF('Grid BD'!$B:$B,$A169,'Grid BD'!$AD:$AD)/($AA169+SUMIF('Grid BD'!$B:$B,$A169,'Grid BD'!AD:AD))),"")</f>
        <v/>
      </c>
      <c r="S169" s="6"/>
      <c r="T169" s="232"/>
      <c r="U169" s="233" t="str">
        <f t="shared" si="13"/>
        <v/>
      </c>
      <c r="V169" s="233"/>
      <c r="W169" s="234" t="str">
        <f t="shared" si="10"/>
        <v/>
      </c>
      <c r="X169" s="227" t="str">
        <f>IFERROR(_xlfn.XLOOKUP($A169,'Raw Data'!$A:$A,'Raw Data'!$BA:$BA),"")</f>
        <v/>
      </c>
      <c r="Y169" s="227" t="str">
        <f>IFERROR(_xlfn.XLOOKUP($A169,'Raw Data'!$A:$A,'Raw Data'!BJ:BJ),"")</f>
        <v/>
      </c>
      <c r="Z169" s="227" t="str">
        <f>IFERROR(_xlfn.XLOOKUP($A169,'Raw Data'!$A:$A,'Raw Data'!BK:BK),"")</f>
        <v/>
      </c>
      <c r="AA169" s="227" t="str">
        <f>IFERROR(_xlfn.XLOOKUP($A169,'Raw Data'!$A:$A,'Raw Data'!BL:BL),"")</f>
        <v/>
      </c>
      <c r="AB169" s="227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27">
        <f>IFERROR(_xlfn.XLOOKUP($D169,'Modelling New'!$D:$D,'Modelling New'!$T:$T)*1000,"")</f>
        <v>91491.490277141027</v>
      </c>
      <c r="AE169" s="234">
        <f>IFERROR(_xlfn.XLOOKUP($D169,'Modelling New'!$D:$D,'Modelling New'!$O:$O),"")</f>
        <v>0.76309492836200032</v>
      </c>
      <c r="AF169" s="234">
        <f>IFERROR(_xlfn.XLOOKUP($D169,'Modelling New'!$D:$D,'Modelling New'!$W:$W),"")</f>
        <v>0.15685840194107786</v>
      </c>
      <c r="AG169" s="234">
        <f>IFERROR(_xlfn.XLOOKUP($D169,'Modelling New'!$D:$D,'Modelling New'!AE:AE),"")</f>
        <v>0.995</v>
      </c>
      <c r="AH169" s="234">
        <v>0.99750000000000005</v>
      </c>
      <c r="AI169" s="6"/>
      <c r="AJ169" s="6"/>
      <c r="AK169" s="6"/>
      <c r="AL169" s="6"/>
      <c r="AM169" s="6"/>
      <c r="AN169" s="231"/>
      <c r="AO169" s="234"/>
      <c r="AP169" s="234"/>
      <c r="AQ169" s="234"/>
      <c r="AR169" s="227">
        <f>IFERROR(_xlfn.XLOOKUP($D169,'Modelling New'!$D:$D,'Modelling New'!$N:$N),"")</f>
        <v>24.303100000000001</v>
      </c>
      <c r="AS169" s="227"/>
    </row>
    <row r="170" spans="1:45" x14ac:dyDescent="0.35">
      <c r="A170" s="226">
        <f t="shared" si="14"/>
        <v>45913</v>
      </c>
      <c r="B170" s="227">
        <f>YEAR(Daily_KPI[[#This Row],[Date]])+IF(MONTH(Daily_KPI[[#This Row],[Date]])&gt;=4,1,0)</f>
        <v>2026</v>
      </c>
      <c r="C170" s="6">
        <f>YEAR(Daily_KPI[[#This Row],[Date]])</f>
        <v>2025</v>
      </c>
      <c r="D170" s="228">
        <f>Daily_KPI[[#This Row],[Date]]-DAY(Daily_KPI[[#This Row],[Date]])+1</f>
        <v>45901</v>
      </c>
      <c r="E170" s="6">
        <f t="shared" si="11"/>
        <v>30</v>
      </c>
      <c r="F170" s="229" t="str">
        <f>IFERROR(_xlfn.XLOOKUP($A170,'Raw Data'!$A:$A,'Raw Data'!$BR:$BR),"")</f>
        <v/>
      </c>
      <c r="G170" s="230" t="str">
        <f>IFERROR(_xlfn.XLOOKUP($A170,'Raw Data'!$A:$A,'Raw Data'!$AO:$AO),"")</f>
        <v/>
      </c>
      <c r="H170" s="230"/>
      <c r="I170" s="230" t="str">
        <f>IFERROR(_xlfn.XLOOKUP($A170,'Raw Data'!$A:$A,'Raw Data'!$AR:$AR),"")</f>
        <v/>
      </c>
      <c r="J170" s="230"/>
      <c r="K170" s="230" t="str">
        <f>IFERROR(_xlfn.XLOOKUP($A170,'Raw Data'!$A:$A,'Raw Data'!$AV:$AV),"")</f>
        <v/>
      </c>
      <c r="L170" s="230" t="str">
        <f>IFERROR(_xlfn.XLOOKUP($A170,'Raw Data'!$A:$A,'Raw Data'!$AW:$AW),"")</f>
        <v/>
      </c>
      <c r="M170" s="230" t="str">
        <f>IFERROR(_xlfn.XLOOKUP($A170,'Raw Data'!$A:$A,'Raw Data'!$AX:$AX),"")</f>
        <v/>
      </c>
      <c r="N170" s="230" t="str">
        <f>IFERROR(_xlfn.XLOOKUP($A170,'Raw Data'!$A:$A,'Raw Data'!$AY:$AY),"")</f>
        <v/>
      </c>
      <c r="O170" s="231" t="str">
        <f>IFERROR(1-(SUMIF('Plant BD'!$B:$B,A170,'Plant BD'!$AE:$AE)/(AA170+SUMIF('Plant BD'!$B:$B,A170,'Plant BD'!$AE:$AE))),"")</f>
        <v/>
      </c>
      <c r="P170" s="231"/>
      <c r="Q170" s="232"/>
      <c r="R170" s="231" t="str">
        <f>IFERROR(1-(SUMIF('Grid BD'!$B:$B,$A170,'Grid BD'!$AD:$AD)/($AA170+SUMIF('Grid BD'!$B:$B,$A170,'Grid BD'!AD:AD))),"")</f>
        <v/>
      </c>
      <c r="S170" s="6"/>
      <c r="T170" s="232"/>
      <c r="U170" s="233" t="str">
        <f t="shared" si="13"/>
        <v/>
      </c>
      <c r="V170" s="233"/>
      <c r="W170" s="234" t="str">
        <f t="shared" si="10"/>
        <v/>
      </c>
      <c r="X170" s="227" t="str">
        <f>IFERROR(_xlfn.XLOOKUP($A170,'Raw Data'!$A:$A,'Raw Data'!$BA:$BA),"")</f>
        <v/>
      </c>
      <c r="Y170" s="227" t="str">
        <f>IFERROR(_xlfn.XLOOKUP($A170,'Raw Data'!$A:$A,'Raw Data'!BJ:BJ),"")</f>
        <v/>
      </c>
      <c r="Z170" s="227" t="str">
        <f>IFERROR(_xlfn.XLOOKUP($A170,'Raw Data'!$A:$A,'Raw Data'!BK:BK),"")</f>
        <v/>
      </c>
      <c r="AA170" s="227" t="str">
        <f>IFERROR(_xlfn.XLOOKUP($A170,'Raw Data'!$A:$A,'Raw Data'!BL:BL),"")</f>
        <v/>
      </c>
      <c r="AB170" s="227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27">
        <f>IFERROR(_xlfn.XLOOKUP($D170,'Modelling New'!$D:$D,'Modelling New'!$T:$T)*1000,"")</f>
        <v>91491.490277141027</v>
      </c>
      <c r="AE170" s="234">
        <f>IFERROR(_xlfn.XLOOKUP($D170,'Modelling New'!$D:$D,'Modelling New'!$O:$O),"")</f>
        <v>0.76309492836200032</v>
      </c>
      <c r="AF170" s="234">
        <f>IFERROR(_xlfn.XLOOKUP($D170,'Modelling New'!$D:$D,'Modelling New'!$W:$W),"")</f>
        <v>0.15685840194107786</v>
      </c>
      <c r="AG170" s="234">
        <f>IFERROR(_xlfn.XLOOKUP($D170,'Modelling New'!$D:$D,'Modelling New'!AE:AE),"")</f>
        <v>0.995</v>
      </c>
      <c r="AH170" s="234">
        <v>0.99750000000000005</v>
      </c>
      <c r="AI170" s="6"/>
      <c r="AJ170" s="6"/>
      <c r="AK170" s="6"/>
      <c r="AL170" s="6"/>
      <c r="AM170" s="6"/>
      <c r="AN170" s="231"/>
      <c r="AO170" s="234"/>
      <c r="AP170" s="234"/>
      <c r="AQ170" s="234"/>
      <c r="AR170" s="227">
        <f>IFERROR(_xlfn.XLOOKUP($D170,'Modelling New'!$D:$D,'Modelling New'!$N:$N),"")</f>
        <v>24.303100000000001</v>
      </c>
      <c r="AS170" s="227"/>
    </row>
    <row r="171" spans="1:45" x14ac:dyDescent="0.35">
      <c r="A171" s="226">
        <f t="shared" si="14"/>
        <v>45914</v>
      </c>
      <c r="B171" s="227">
        <f>YEAR(Daily_KPI[[#This Row],[Date]])+IF(MONTH(Daily_KPI[[#This Row],[Date]])&gt;=4,1,0)</f>
        <v>2026</v>
      </c>
      <c r="C171" s="6">
        <f>YEAR(Daily_KPI[[#This Row],[Date]])</f>
        <v>2025</v>
      </c>
      <c r="D171" s="228">
        <f>Daily_KPI[[#This Row],[Date]]-DAY(Daily_KPI[[#This Row],[Date]])+1</f>
        <v>45901</v>
      </c>
      <c r="E171" s="6">
        <f t="shared" si="11"/>
        <v>30</v>
      </c>
      <c r="F171" s="229" t="str">
        <f>IFERROR(_xlfn.XLOOKUP($A171,'Raw Data'!$A:$A,'Raw Data'!$BR:$BR),"")</f>
        <v/>
      </c>
      <c r="G171" s="230" t="str">
        <f>IFERROR(_xlfn.XLOOKUP($A171,'Raw Data'!$A:$A,'Raw Data'!$AO:$AO),"")</f>
        <v/>
      </c>
      <c r="H171" s="230"/>
      <c r="I171" s="230" t="str">
        <f>IFERROR(_xlfn.XLOOKUP($A171,'Raw Data'!$A:$A,'Raw Data'!$AR:$AR),"")</f>
        <v/>
      </c>
      <c r="J171" s="230"/>
      <c r="K171" s="230" t="str">
        <f>IFERROR(_xlfn.XLOOKUP($A171,'Raw Data'!$A:$A,'Raw Data'!$AV:$AV),"")</f>
        <v/>
      </c>
      <c r="L171" s="230" t="str">
        <f>IFERROR(_xlfn.XLOOKUP($A171,'Raw Data'!$A:$A,'Raw Data'!$AW:$AW),"")</f>
        <v/>
      </c>
      <c r="M171" s="230" t="str">
        <f>IFERROR(_xlfn.XLOOKUP($A171,'Raw Data'!$A:$A,'Raw Data'!$AX:$AX),"")</f>
        <v/>
      </c>
      <c r="N171" s="230" t="str">
        <f>IFERROR(_xlfn.XLOOKUP($A171,'Raw Data'!$A:$A,'Raw Data'!$AY:$AY),"")</f>
        <v/>
      </c>
      <c r="O171" s="231" t="str">
        <f>IFERROR(1-(SUMIF('Plant BD'!$B:$B,A171,'Plant BD'!$AE:$AE)/(AA171+SUMIF('Plant BD'!$B:$B,A171,'Plant BD'!$AE:$AE))),"")</f>
        <v/>
      </c>
      <c r="P171" s="231"/>
      <c r="Q171" s="232"/>
      <c r="R171" s="231" t="str">
        <f>IFERROR(1-(SUMIF('Grid BD'!$B:$B,$A171,'Grid BD'!$AD:$AD)/($AA171+SUMIF('Grid BD'!$B:$B,$A171,'Grid BD'!AD:AD))),"")</f>
        <v/>
      </c>
      <c r="S171" s="6"/>
      <c r="T171" s="232"/>
      <c r="U171" s="233" t="str">
        <f t="shared" si="13"/>
        <v/>
      </c>
      <c r="V171" s="233"/>
      <c r="W171" s="234" t="str">
        <f t="shared" ref="W171:W234" si="15">IFERROR(AA171/(24*AR171*1000),"")</f>
        <v/>
      </c>
      <c r="X171" s="227" t="str">
        <f>IFERROR(_xlfn.XLOOKUP($A171,'Raw Data'!$A:$A,'Raw Data'!$BA:$BA),"")</f>
        <v/>
      </c>
      <c r="Y171" s="227" t="str">
        <f>IFERROR(_xlfn.XLOOKUP($A171,'Raw Data'!$A:$A,'Raw Data'!BJ:BJ),"")</f>
        <v/>
      </c>
      <c r="Z171" s="227" t="str">
        <f>IFERROR(_xlfn.XLOOKUP($A171,'Raw Data'!$A:$A,'Raw Data'!BK:BK),"")</f>
        <v/>
      </c>
      <c r="AA171" s="227" t="str">
        <f>IFERROR(_xlfn.XLOOKUP($A171,'Raw Data'!$A:$A,'Raw Data'!BL:BL),"")</f>
        <v/>
      </c>
      <c r="AB171" s="227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27">
        <f>IFERROR(_xlfn.XLOOKUP($D171,'Modelling New'!$D:$D,'Modelling New'!$T:$T)*1000,"")</f>
        <v>91491.490277141027</v>
      </c>
      <c r="AE171" s="234">
        <f>IFERROR(_xlfn.XLOOKUP($D171,'Modelling New'!$D:$D,'Modelling New'!$O:$O),"")</f>
        <v>0.76309492836200032</v>
      </c>
      <c r="AF171" s="234">
        <f>IFERROR(_xlfn.XLOOKUP($D171,'Modelling New'!$D:$D,'Modelling New'!$W:$W),"")</f>
        <v>0.15685840194107786</v>
      </c>
      <c r="AG171" s="234">
        <f>IFERROR(_xlfn.XLOOKUP($D171,'Modelling New'!$D:$D,'Modelling New'!AE:AE),"")</f>
        <v>0.995</v>
      </c>
      <c r="AH171" s="234">
        <v>0.99750000000000005</v>
      </c>
      <c r="AI171" s="6"/>
      <c r="AJ171" s="6"/>
      <c r="AK171" s="6"/>
      <c r="AL171" s="6"/>
      <c r="AM171" s="6"/>
      <c r="AN171" s="231"/>
      <c r="AO171" s="234"/>
      <c r="AP171" s="234"/>
      <c r="AQ171" s="234"/>
      <c r="AR171" s="227">
        <f>IFERROR(_xlfn.XLOOKUP($D171,'Modelling New'!$D:$D,'Modelling New'!$N:$N),"")</f>
        <v>24.303100000000001</v>
      </c>
      <c r="AS171" s="227"/>
    </row>
    <row r="172" spans="1:45" x14ac:dyDescent="0.35">
      <c r="A172" s="226">
        <f t="shared" si="14"/>
        <v>45915</v>
      </c>
      <c r="B172" s="227">
        <f>YEAR(Daily_KPI[[#This Row],[Date]])+IF(MONTH(Daily_KPI[[#This Row],[Date]])&gt;=4,1,0)</f>
        <v>2026</v>
      </c>
      <c r="C172" s="6">
        <f>YEAR(Daily_KPI[[#This Row],[Date]])</f>
        <v>2025</v>
      </c>
      <c r="D172" s="228">
        <f>Daily_KPI[[#This Row],[Date]]-DAY(Daily_KPI[[#This Row],[Date]])+1</f>
        <v>45901</v>
      </c>
      <c r="E172" s="6">
        <f t="shared" si="11"/>
        <v>30</v>
      </c>
      <c r="F172" s="229" t="str">
        <f>IFERROR(_xlfn.XLOOKUP($A172,'Raw Data'!$A:$A,'Raw Data'!$BR:$BR),"")</f>
        <v/>
      </c>
      <c r="G172" s="230" t="str">
        <f>IFERROR(_xlfn.XLOOKUP($A172,'Raw Data'!$A:$A,'Raw Data'!$AO:$AO),"")</f>
        <v/>
      </c>
      <c r="H172" s="230"/>
      <c r="I172" s="230" t="str">
        <f>IFERROR(_xlfn.XLOOKUP($A172,'Raw Data'!$A:$A,'Raw Data'!$AR:$AR),"")</f>
        <v/>
      </c>
      <c r="J172" s="230"/>
      <c r="K172" s="230" t="str">
        <f>IFERROR(_xlfn.XLOOKUP($A172,'Raw Data'!$A:$A,'Raw Data'!$AV:$AV),"")</f>
        <v/>
      </c>
      <c r="L172" s="230" t="str">
        <f>IFERROR(_xlfn.XLOOKUP($A172,'Raw Data'!$A:$A,'Raw Data'!$AW:$AW),"")</f>
        <v/>
      </c>
      <c r="M172" s="230" t="str">
        <f>IFERROR(_xlfn.XLOOKUP($A172,'Raw Data'!$A:$A,'Raw Data'!$AX:$AX),"")</f>
        <v/>
      </c>
      <c r="N172" s="230" t="str">
        <f>IFERROR(_xlfn.XLOOKUP($A172,'Raw Data'!$A:$A,'Raw Data'!$AY:$AY),"")</f>
        <v/>
      </c>
      <c r="O172" s="231" t="str">
        <f>IFERROR(1-(SUMIF('Plant BD'!$B:$B,A172,'Plant BD'!$AE:$AE)/(AA172+SUMIF('Plant BD'!$B:$B,A172,'Plant BD'!$AE:$AE))),"")</f>
        <v/>
      </c>
      <c r="P172" s="231"/>
      <c r="Q172" s="232"/>
      <c r="R172" s="231" t="str">
        <f>IFERROR(1-(SUMIF('Grid BD'!$B:$B,$A172,'Grid BD'!$AD:$AD)/($AA172+SUMIF('Grid BD'!$B:$B,$A172,'Grid BD'!AD:AD))),"")</f>
        <v/>
      </c>
      <c r="S172" s="6"/>
      <c r="T172" s="232"/>
      <c r="U172" s="233" t="str">
        <f t="shared" si="13"/>
        <v/>
      </c>
      <c r="V172" s="233"/>
      <c r="W172" s="234" t="str">
        <f t="shared" si="15"/>
        <v/>
      </c>
      <c r="X172" s="227" t="str">
        <f>IFERROR(_xlfn.XLOOKUP($A172,'Raw Data'!$A:$A,'Raw Data'!$BA:$BA),"")</f>
        <v/>
      </c>
      <c r="Y172" s="227" t="str">
        <f>IFERROR(_xlfn.XLOOKUP($A172,'Raw Data'!$A:$A,'Raw Data'!BJ:BJ),"")</f>
        <v/>
      </c>
      <c r="Z172" s="227" t="str">
        <f>IFERROR(_xlfn.XLOOKUP($A172,'Raw Data'!$A:$A,'Raw Data'!BK:BK),"")</f>
        <v/>
      </c>
      <c r="AA172" s="227" t="str">
        <f>IFERROR(_xlfn.XLOOKUP($A172,'Raw Data'!$A:$A,'Raw Data'!BL:BL),"")</f>
        <v/>
      </c>
      <c r="AB172" s="227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27">
        <f>IFERROR(_xlfn.XLOOKUP($D172,'Modelling New'!$D:$D,'Modelling New'!$T:$T)*1000,"")</f>
        <v>91491.490277141027</v>
      </c>
      <c r="AE172" s="234">
        <f>IFERROR(_xlfn.XLOOKUP($D172,'Modelling New'!$D:$D,'Modelling New'!$O:$O),"")</f>
        <v>0.76309492836200032</v>
      </c>
      <c r="AF172" s="234">
        <f>IFERROR(_xlfn.XLOOKUP($D172,'Modelling New'!$D:$D,'Modelling New'!$W:$W),"")</f>
        <v>0.15685840194107786</v>
      </c>
      <c r="AG172" s="234">
        <f>IFERROR(_xlfn.XLOOKUP($D172,'Modelling New'!$D:$D,'Modelling New'!AE:AE),"")</f>
        <v>0.995</v>
      </c>
      <c r="AH172" s="234">
        <v>0.99750000000000005</v>
      </c>
      <c r="AI172" s="6"/>
      <c r="AJ172" s="6"/>
      <c r="AK172" s="6"/>
      <c r="AL172" s="6"/>
      <c r="AM172" s="6"/>
      <c r="AN172" s="231"/>
      <c r="AO172" s="234"/>
      <c r="AP172" s="234"/>
      <c r="AQ172" s="234"/>
      <c r="AR172" s="227">
        <f>IFERROR(_xlfn.XLOOKUP($D172,'Modelling New'!$D:$D,'Modelling New'!$N:$N),"")</f>
        <v>24.303100000000001</v>
      </c>
      <c r="AS172" s="227"/>
    </row>
    <row r="173" spans="1:45" x14ac:dyDescent="0.35">
      <c r="A173" s="226">
        <f t="shared" si="14"/>
        <v>45916</v>
      </c>
      <c r="B173" s="227">
        <f>YEAR(Daily_KPI[[#This Row],[Date]])+IF(MONTH(Daily_KPI[[#This Row],[Date]])&gt;=4,1,0)</f>
        <v>2026</v>
      </c>
      <c r="C173" s="6">
        <f>YEAR(Daily_KPI[[#This Row],[Date]])</f>
        <v>2025</v>
      </c>
      <c r="D173" s="228">
        <f>Daily_KPI[[#This Row],[Date]]-DAY(Daily_KPI[[#This Row],[Date]])+1</f>
        <v>45901</v>
      </c>
      <c r="E173" s="6">
        <f t="shared" si="11"/>
        <v>30</v>
      </c>
      <c r="F173" s="229" t="str">
        <f>IFERROR(_xlfn.XLOOKUP($A173,'Raw Data'!$A:$A,'Raw Data'!$BR:$BR),"")</f>
        <v/>
      </c>
      <c r="G173" s="230" t="str">
        <f>IFERROR(_xlfn.XLOOKUP($A173,'Raw Data'!$A:$A,'Raw Data'!$AO:$AO),"")</f>
        <v/>
      </c>
      <c r="H173" s="230"/>
      <c r="I173" s="230" t="str">
        <f>IFERROR(_xlfn.XLOOKUP($A173,'Raw Data'!$A:$A,'Raw Data'!$AR:$AR),"")</f>
        <v/>
      </c>
      <c r="J173" s="230"/>
      <c r="K173" s="230" t="str">
        <f>IFERROR(_xlfn.XLOOKUP($A173,'Raw Data'!$A:$A,'Raw Data'!$AV:$AV),"")</f>
        <v/>
      </c>
      <c r="L173" s="230" t="str">
        <f>IFERROR(_xlfn.XLOOKUP($A173,'Raw Data'!$A:$A,'Raw Data'!$AW:$AW),"")</f>
        <v/>
      </c>
      <c r="M173" s="230" t="str">
        <f>IFERROR(_xlfn.XLOOKUP($A173,'Raw Data'!$A:$A,'Raw Data'!$AX:$AX),"")</f>
        <v/>
      </c>
      <c r="N173" s="230" t="str">
        <f>IFERROR(_xlfn.XLOOKUP($A173,'Raw Data'!$A:$A,'Raw Data'!$AY:$AY),"")</f>
        <v/>
      </c>
      <c r="O173" s="231" t="str">
        <f>IFERROR(1-(SUMIF('Plant BD'!$B:$B,A173,'Plant BD'!$AE:$AE)/(AA173+SUMIF('Plant BD'!$B:$B,A173,'Plant BD'!$AE:$AE))),"")</f>
        <v/>
      </c>
      <c r="P173" s="231"/>
      <c r="Q173" s="232"/>
      <c r="R173" s="231" t="str">
        <f>IFERROR(1-(SUMIF('Grid BD'!$B:$B,$A173,'Grid BD'!$AD:$AD)/($AA173+SUMIF('Grid BD'!$B:$B,$A173,'Grid BD'!AD:AD))),"")</f>
        <v/>
      </c>
      <c r="S173" s="6"/>
      <c r="T173" s="232"/>
      <c r="U173" s="233" t="str">
        <f t="shared" si="13"/>
        <v/>
      </c>
      <c r="V173" s="233"/>
      <c r="W173" s="234" t="str">
        <f t="shared" si="15"/>
        <v/>
      </c>
      <c r="X173" s="227" t="str">
        <f>IFERROR(_xlfn.XLOOKUP($A173,'Raw Data'!$A:$A,'Raw Data'!$BA:$BA),"")</f>
        <v/>
      </c>
      <c r="Y173" s="227" t="str">
        <f>IFERROR(_xlfn.XLOOKUP($A173,'Raw Data'!$A:$A,'Raw Data'!BJ:BJ),"")</f>
        <v/>
      </c>
      <c r="Z173" s="227" t="str">
        <f>IFERROR(_xlfn.XLOOKUP($A173,'Raw Data'!$A:$A,'Raw Data'!BK:BK),"")</f>
        <v/>
      </c>
      <c r="AA173" s="227" t="str">
        <f>IFERROR(_xlfn.XLOOKUP($A173,'Raw Data'!$A:$A,'Raw Data'!BL:BL),"")</f>
        <v/>
      </c>
      <c r="AB173" s="227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27">
        <f>IFERROR(_xlfn.XLOOKUP($D173,'Modelling New'!$D:$D,'Modelling New'!$T:$T)*1000,"")</f>
        <v>91491.490277141027</v>
      </c>
      <c r="AE173" s="234">
        <f>IFERROR(_xlfn.XLOOKUP($D173,'Modelling New'!$D:$D,'Modelling New'!$O:$O),"")</f>
        <v>0.76309492836200032</v>
      </c>
      <c r="AF173" s="234">
        <f>IFERROR(_xlfn.XLOOKUP($D173,'Modelling New'!$D:$D,'Modelling New'!$W:$W),"")</f>
        <v>0.15685840194107786</v>
      </c>
      <c r="AG173" s="234">
        <f>IFERROR(_xlfn.XLOOKUP($D173,'Modelling New'!$D:$D,'Modelling New'!AE:AE),"")</f>
        <v>0.995</v>
      </c>
      <c r="AH173" s="234">
        <v>0.99750000000000005</v>
      </c>
      <c r="AI173" s="6"/>
      <c r="AJ173" s="6"/>
      <c r="AK173" s="6"/>
      <c r="AL173" s="6"/>
      <c r="AM173" s="6"/>
      <c r="AN173" s="231"/>
      <c r="AO173" s="234"/>
      <c r="AP173" s="234"/>
      <c r="AQ173" s="234"/>
      <c r="AR173" s="227">
        <f>IFERROR(_xlfn.XLOOKUP($D173,'Modelling New'!$D:$D,'Modelling New'!$N:$N),"")</f>
        <v>24.303100000000001</v>
      </c>
      <c r="AS173" s="227"/>
    </row>
    <row r="174" spans="1:45" x14ac:dyDescent="0.35">
      <c r="A174" s="226">
        <f t="shared" si="14"/>
        <v>45917</v>
      </c>
      <c r="B174" s="227">
        <f>YEAR(Daily_KPI[[#This Row],[Date]])+IF(MONTH(Daily_KPI[[#This Row],[Date]])&gt;=4,1,0)</f>
        <v>2026</v>
      </c>
      <c r="C174" s="6">
        <f>YEAR(Daily_KPI[[#This Row],[Date]])</f>
        <v>2025</v>
      </c>
      <c r="D174" s="228">
        <f>Daily_KPI[[#This Row],[Date]]-DAY(Daily_KPI[[#This Row],[Date]])+1</f>
        <v>45901</v>
      </c>
      <c r="E174" s="6">
        <f t="shared" si="11"/>
        <v>30</v>
      </c>
      <c r="F174" s="229" t="str">
        <f>IFERROR(_xlfn.XLOOKUP($A174,'Raw Data'!$A:$A,'Raw Data'!$BR:$BR),"")</f>
        <v/>
      </c>
      <c r="G174" s="230" t="str">
        <f>IFERROR(_xlfn.XLOOKUP($A174,'Raw Data'!$A:$A,'Raw Data'!$AO:$AO),"")</f>
        <v/>
      </c>
      <c r="H174" s="230"/>
      <c r="I174" s="230" t="str">
        <f>IFERROR(_xlfn.XLOOKUP($A174,'Raw Data'!$A:$A,'Raw Data'!$AR:$AR),"")</f>
        <v/>
      </c>
      <c r="J174" s="230"/>
      <c r="K174" s="230" t="str">
        <f>IFERROR(_xlfn.XLOOKUP($A174,'Raw Data'!$A:$A,'Raw Data'!$AV:$AV),"")</f>
        <v/>
      </c>
      <c r="L174" s="230" t="str">
        <f>IFERROR(_xlfn.XLOOKUP($A174,'Raw Data'!$A:$A,'Raw Data'!$AW:$AW),"")</f>
        <v/>
      </c>
      <c r="M174" s="230" t="str">
        <f>IFERROR(_xlfn.XLOOKUP($A174,'Raw Data'!$A:$A,'Raw Data'!$AX:$AX),"")</f>
        <v/>
      </c>
      <c r="N174" s="230" t="str">
        <f>IFERROR(_xlfn.XLOOKUP($A174,'Raw Data'!$A:$A,'Raw Data'!$AY:$AY),"")</f>
        <v/>
      </c>
      <c r="O174" s="231" t="str">
        <f>IFERROR(1-(SUMIF('Plant BD'!$B:$B,A174,'Plant BD'!$AE:$AE)/(AA174+SUMIF('Plant BD'!$B:$B,A174,'Plant BD'!$AE:$AE))),"")</f>
        <v/>
      </c>
      <c r="P174" s="231"/>
      <c r="Q174" s="232"/>
      <c r="R174" s="231" t="str">
        <f>IFERROR(1-(SUMIF('Grid BD'!$B:$B,$A174,'Grid BD'!$AD:$AD)/($AA174+SUMIF('Grid BD'!$B:$B,$A174,'Grid BD'!AD:AD))),"")</f>
        <v/>
      </c>
      <c r="S174" s="6"/>
      <c r="T174" s="232"/>
      <c r="U174" s="233" t="str">
        <f t="shared" si="13"/>
        <v/>
      </c>
      <c r="V174" s="233"/>
      <c r="W174" s="234" t="str">
        <f t="shared" si="15"/>
        <v/>
      </c>
      <c r="X174" s="227" t="str">
        <f>IFERROR(_xlfn.XLOOKUP($A174,'Raw Data'!$A:$A,'Raw Data'!$BA:$BA),"")</f>
        <v/>
      </c>
      <c r="Y174" s="227" t="str">
        <f>IFERROR(_xlfn.XLOOKUP($A174,'Raw Data'!$A:$A,'Raw Data'!BJ:BJ),"")</f>
        <v/>
      </c>
      <c r="Z174" s="227" t="str">
        <f>IFERROR(_xlfn.XLOOKUP($A174,'Raw Data'!$A:$A,'Raw Data'!BK:BK),"")</f>
        <v/>
      </c>
      <c r="AA174" s="227" t="str">
        <f>IFERROR(_xlfn.XLOOKUP($A174,'Raw Data'!$A:$A,'Raw Data'!BL:BL),"")</f>
        <v/>
      </c>
      <c r="AB174" s="227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27">
        <f>IFERROR(_xlfn.XLOOKUP($D174,'Modelling New'!$D:$D,'Modelling New'!$T:$T)*1000,"")</f>
        <v>91491.490277141027</v>
      </c>
      <c r="AE174" s="234">
        <f>IFERROR(_xlfn.XLOOKUP($D174,'Modelling New'!$D:$D,'Modelling New'!$O:$O),"")</f>
        <v>0.76309492836200032</v>
      </c>
      <c r="AF174" s="234">
        <f>IFERROR(_xlfn.XLOOKUP($D174,'Modelling New'!$D:$D,'Modelling New'!$W:$W),"")</f>
        <v>0.15685840194107786</v>
      </c>
      <c r="AG174" s="234">
        <f>IFERROR(_xlfn.XLOOKUP($D174,'Modelling New'!$D:$D,'Modelling New'!AE:AE),"")</f>
        <v>0.995</v>
      </c>
      <c r="AH174" s="234">
        <v>0.99750000000000005</v>
      </c>
      <c r="AI174" s="6"/>
      <c r="AJ174" s="6"/>
      <c r="AK174" s="6"/>
      <c r="AL174" s="6"/>
      <c r="AM174" s="6"/>
      <c r="AN174" s="231"/>
      <c r="AO174" s="234"/>
      <c r="AP174" s="234"/>
      <c r="AQ174" s="234"/>
      <c r="AR174" s="227">
        <f>IFERROR(_xlfn.XLOOKUP($D174,'Modelling New'!$D:$D,'Modelling New'!$N:$N),"")</f>
        <v>24.303100000000001</v>
      </c>
      <c r="AS174" s="227"/>
    </row>
    <row r="175" spans="1:45" x14ac:dyDescent="0.35">
      <c r="A175" s="226">
        <f t="shared" si="14"/>
        <v>45918</v>
      </c>
      <c r="B175" s="227">
        <f>YEAR(Daily_KPI[[#This Row],[Date]])+IF(MONTH(Daily_KPI[[#This Row],[Date]])&gt;=4,1,0)</f>
        <v>2026</v>
      </c>
      <c r="C175" s="6">
        <f>YEAR(Daily_KPI[[#This Row],[Date]])</f>
        <v>2025</v>
      </c>
      <c r="D175" s="228">
        <f>Daily_KPI[[#This Row],[Date]]-DAY(Daily_KPI[[#This Row],[Date]])+1</f>
        <v>45901</v>
      </c>
      <c r="E175" s="6">
        <f t="shared" si="11"/>
        <v>30</v>
      </c>
      <c r="F175" s="229" t="str">
        <f>IFERROR(_xlfn.XLOOKUP($A175,'Raw Data'!$A:$A,'Raw Data'!$BR:$BR),"")</f>
        <v/>
      </c>
      <c r="G175" s="230" t="str">
        <f>IFERROR(_xlfn.XLOOKUP($A175,'Raw Data'!$A:$A,'Raw Data'!$AO:$AO),"")</f>
        <v/>
      </c>
      <c r="H175" s="230"/>
      <c r="I175" s="230" t="str">
        <f>IFERROR(_xlfn.XLOOKUP($A175,'Raw Data'!$A:$A,'Raw Data'!$AR:$AR),"")</f>
        <v/>
      </c>
      <c r="J175" s="230"/>
      <c r="K175" s="230" t="str">
        <f>IFERROR(_xlfn.XLOOKUP($A175,'Raw Data'!$A:$A,'Raw Data'!$AV:$AV),"")</f>
        <v/>
      </c>
      <c r="L175" s="230" t="str">
        <f>IFERROR(_xlfn.XLOOKUP($A175,'Raw Data'!$A:$A,'Raw Data'!$AW:$AW),"")</f>
        <v/>
      </c>
      <c r="M175" s="230" t="str">
        <f>IFERROR(_xlfn.XLOOKUP($A175,'Raw Data'!$A:$A,'Raw Data'!$AX:$AX),"")</f>
        <v/>
      </c>
      <c r="N175" s="230" t="str">
        <f>IFERROR(_xlfn.XLOOKUP($A175,'Raw Data'!$A:$A,'Raw Data'!$AY:$AY),"")</f>
        <v/>
      </c>
      <c r="O175" s="231" t="str">
        <f>IFERROR(1-(SUMIF('Plant BD'!$B:$B,A175,'Plant BD'!$AE:$AE)/(AA175+SUMIF('Plant BD'!$B:$B,A175,'Plant BD'!$AE:$AE))),"")</f>
        <v/>
      </c>
      <c r="P175" s="231"/>
      <c r="Q175" s="232"/>
      <c r="R175" s="231" t="str">
        <f>IFERROR(1-(SUMIF('Grid BD'!$B:$B,$A175,'Grid BD'!$AD:$AD)/($AA175+SUMIF('Grid BD'!$B:$B,$A175,'Grid BD'!AD:AD))),"")</f>
        <v/>
      </c>
      <c r="S175" s="6"/>
      <c r="T175" s="232"/>
      <c r="U175" s="233" t="str">
        <f t="shared" si="13"/>
        <v/>
      </c>
      <c r="V175" s="233"/>
      <c r="W175" s="234" t="str">
        <f t="shared" si="15"/>
        <v/>
      </c>
      <c r="X175" s="227" t="str">
        <f>IFERROR(_xlfn.XLOOKUP($A175,'Raw Data'!$A:$A,'Raw Data'!$BA:$BA),"")</f>
        <v/>
      </c>
      <c r="Y175" s="227" t="str">
        <f>IFERROR(_xlfn.XLOOKUP($A175,'Raw Data'!$A:$A,'Raw Data'!BJ:BJ),"")</f>
        <v/>
      </c>
      <c r="Z175" s="227" t="str">
        <f>IFERROR(_xlfn.XLOOKUP($A175,'Raw Data'!$A:$A,'Raw Data'!BK:BK),"")</f>
        <v/>
      </c>
      <c r="AA175" s="227" t="str">
        <f>IFERROR(_xlfn.XLOOKUP($A175,'Raw Data'!$A:$A,'Raw Data'!BL:BL),"")</f>
        <v/>
      </c>
      <c r="AB175" s="227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27">
        <f>IFERROR(_xlfn.XLOOKUP($D175,'Modelling New'!$D:$D,'Modelling New'!$T:$T)*1000,"")</f>
        <v>91491.490277141027</v>
      </c>
      <c r="AE175" s="234">
        <f>IFERROR(_xlfn.XLOOKUP($D175,'Modelling New'!$D:$D,'Modelling New'!$O:$O),"")</f>
        <v>0.76309492836200032</v>
      </c>
      <c r="AF175" s="234">
        <f>IFERROR(_xlfn.XLOOKUP($D175,'Modelling New'!$D:$D,'Modelling New'!$W:$W),"")</f>
        <v>0.15685840194107786</v>
      </c>
      <c r="AG175" s="234">
        <f>IFERROR(_xlfn.XLOOKUP($D175,'Modelling New'!$D:$D,'Modelling New'!AE:AE),"")</f>
        <v>0.995</v>
      </c>
      <c r="AH175" s="234">
        <v>0.99750000000000005</v>
      </c>
      <c r="AI175" s="6"/>
      <c r="AJ175" s="6"/>
      <c r="AK175" s="6"/>
      <c r="AL175" s="6"/>
      <c r="AM175" s="6"/>
      <c r="AN175" s="231"/>
      <c r="AO175" s="234"/>
      <c r="AP175" s="234"/>
      <c r="AQ175" s="234"/>
      <c r="AR175" s="227">
        <f>IFERROR(_xlfn.XLOOKUP($D175,'Modelling New'!$D:$D,'Modelling New'!$N:$N),"")</f>
        <v>24.303100000000001</v>
      </c>
      <c r="AS175" s="227"/>
    </row>
    <row r="176" spans="1:45" x14ac:dyDescent="0.35">
      <c r="A176" s="226">
        <f t="shared" si="14"/>
        <v>45919</v>
      </c>
      <c r="B176" s="227">
        <f>YEAR(Daily_KPI[[#This Row],[Date]])+IF(MONTH(Daily_KPI[[#This Row],[Date]])&gt;=4,1,0)</f>
        <v>2026</v>
      </c>
      <c r="C176" s="6">
        <f>YEAR(Daily_KPI[[#This Row],[Date]])</f>
        <v>2025</v>
      </c>
      <c r="D176" s="228">
        <f>Daily_KPI[[#This Row],[Date]]-DAY(Daily_KPI[[#This Row],[Date]])+1</f>
        <v>45901</v>
      </c>
      <c r="E176" s="6">
        <f t="shared" si="11"/>
        <v>30</v>
      </c>
      <c r="F176" s="229" t="str">
        <f>IFERROR(_xlfn.XLOOKUP($A176,'Raw Data'!$A:$A,'Raw Data'!$BR:$BR),"")</f>
        <v/>
      </c>
      <c r="G176" s="230" t="str">
        <f>IFERROR(_xlfn.XLOOKUP($A176,'Raw Data'!$A:$A,'Raw Data'!$AO:$AO),"")</f>
        <v/>
      </c>
      <c r="H176" s="230"/>
      <c r="I176" s="230" t="str">
        <f>IFERROR(_xlfn.XLOOKUP($A176,'Raw Data'!$A:$A,'Raw Data'!$AR:$AR),"")</f>
        <v/>
      </c>
      <c r="J176" s="230"/>
      <c r="K176" s="230" t="str">
        <f>IFERROR(_xlfn.XLOOKUP($A176,'Raw Data'!$A:$A,'Raw Data'!$AV:$AV),"")</f>
        <v/>
      </c>
      <c r="L176" s="230" t="str">
        <f>IFERROR(_xlfn.XLOOKUP($A176,'Raw Data'!$A:$A,'Raw Data'!$AW:$AW),"")</f>
        <v/>
      </c>
      <c r="M176" s="230" t="str">
        <f>IFERROR(_xlfn.XLOOKUP($A176,'Raw Data'!$A:$A,'Raw Data'!$AX:$AX),"")</f>
        <v/>
      </c>
      <c r="N176" s="230" t="str">
        <f>IFERROR(_xlfn.XLOOKUP($A176,'Raw Data'!$A:$A,'Raw Data'!$AY:$AY),"")</f>
        <v/>
      </c>
      <c r="O176" s="231" t="str">
        <f>IFERROR(1-(SUMIF('Plant BD'!$B:$B,A176,'Plant BD'!$AE:$AE)/(AA176+SUMIF('Plant BD'!$B:$B,A176,'Plant BD'!$AE:$AE))),"")</f>
        <v/>
      </c>
      <c r="P176" s="231"/>
      <c r="Q176" s="232"/>
      <c r="R176" s="231" t="str">
        <f>IFERROR(1-(SUMIF('Grid BD'!$B:$B,$A176,'Grid BD'!$AD:$AD)/($AA176+SUMIF('Grid BD'!$B:$B,$A176,'Grid BD'!AD:AD))),"")</f>
        <v/>
      </c>
      <c r="S176" s="6"/>
      <c r="T176" s="232"/>
      <c r="U176" s="233" t="str">
        <f t="shared" si="13"/>
        <v/>
      </c>
      <c r="V176" s="233"/>
      <c r="W176" s="234" t="str">
        <f t="shared" si="15"/>
        <v/>
      </c>
      <c r="X176" s="227" t="str">
        <f>IFERROR(_xlfn.XLOOKUP($A176,'Raw Data'!$A:$A,'Raw Data'!$BA:$BA),"")</f>
        <v/>
      </c>
      <c r="Y176" s="227" t="str">
        <f>IFERROR(_xlfn.XLOOKUP($A176,'Raw Data'!$A:$A,'Raw Data'!BJ:BJ),"")</f>
        <v/>
      </c>
      <c r="Z176" s="227" t="str">
        <f>IFERROR(_xlfn.XLOOKUP($A176,'Raw Data'!$A:$A,'Raw Data'!BK:BK),"")</f>
        <v/>
      </c>
      <c r="AA176" s="227" t="str">
        <f>IFERROR(_xlfn.XLOOKUP($A176,'Raw Data'!$A:$A,'Raw Data'!BL:BL),"")</f>
        <v/>
      </c>
      <c r="AB176" s="227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27">
        <f>IFERROR(_xlfn.XLOOKUP($D176,'Modelling New'!$D:$D,'Modelling New'!$T:$T)*1000,"")</f>
        <v>91491.490277141027</v>
      </c>
      <c r="AE176" s="234">
        <f>IFERROR(_xlfn.XLOOKUP($D176,'Modelling New'!$D:$D,'Modelling New'!$O:$O),"")</f>
        <v>0.76309492836200032</v>
      </c>
      <c r="AF176" s="234">
        <f>IFERROR(_xlfn.XLOOKUP($D176,'Modelling New'!$D:$D,'Modelling New'!$W:$W),"")</f>
        <v>0.15685840194107786</v>
      </c>
      <c r="AG176" s="234">
        <f>IFERROR(_xlfn.XLOOKUP($D176,'Modelling New'!$D:$D,'Modelling New'!AE:AE),"")</f>
        <v>0.995</v>
      </c>
      <c r="AH176" s="234">
        <v>0.99750000000000005</v>
      </c>
      <c r="AI176" s="6"/>
      <c r="AJ176" s="6"/>
      <c r="AK176" s="6"/>
      <c r="AL176" s="6"/>
      <c r="AM176" s="6"/>
      <c r="AN176" s="231"/>
      <c r="AO176" s="234"/>
      <c r="AP176" s="234"/>
      <c r="AQ176" s="234"/>
      <c r="AR176" s="227">
        <f>IFERROR(_xlfn.XLOOKUP($D176,'Modelling New'!$D:$D,'Modelling New'!$N:$N),"")</f>
        <v>24.303100000000001</v>
      </c>
      <c r="AS176" s="227"/>
    </row>
    <row r="177" spans="1:45" x14ac:dyDescent="0.35">
      <c r="A177" s="226">
        <f t="shared" si="14"/>
        <v>45920</v>
      </c>
      <c r="B177" s="227">
        <f>YEAR(Daily_KPI[[#This Row],[Date]])+IF(MONTH(Daily_KPI[[#This Row],[Date]])&gt;=4,1,0)</f>
        <v>2026</v>
      </c>
      <c r="C177" s="6">
        <f>YEAR(Daily_KPI[[#This Row],[Date]])</f>
        <v>2025</v>
      </c>
      <c r="D177" s="228">
        <f>Daily_KPI[[#This Row],[Date]]-DAY(Daily_KPI[[#This Row],[Date]])+1</f>
        <v>45901</v>
      </c>
      <c r="E177" s="6">
        <f t="shared" si="11"/>
        <v>30</v>
      </c>
      <c r="F177" s="229" t="str">
        <f>IFERROR(_xlfn.XLOOKUP($A177,'Raw Data'!$A:$A,'Raw Data'!$BR:$BR),"")</f>
        <v/>
      </c>
      <c r="G177" s="230" t="str">
        <f>IFERROR(_xlfn.XLOOKUP($A177,'Raw Data'!$A:$A,'Raw Data'!$AO:$AO),"")</f>
        <v/>
      </c>
      <c r="H177" s="230"/>
      <c r="I177" s="230" t="str">
        <f>IFERROR(_xlfn.XLOOKUP($A177,'Raw Data'!$A:$A,'Raw Data'!$AR:$AR),"")</f>
        <v/>
      </c>
      <c r="J177" s="230"/>
      <c r="K177" s="230" t="str">
        <f>IFERROR(_xlfn.XLOOKUP($A177,'Raw Data'!$A:$A,'Raw Data'!$AV:$AV),"")</f>
        <v/>
      </c>
      <c r="L177" s="230" t="str">
        <f>IFERROR(_xlfn.XLOOKUP($A177,'Raw Data'!$A:$A,'Raw Data'!$AW:$AW),"")</f>
        <v/>
      </c>
      <c r="M177" s="230" t="str">
        <f>IFERROR(_xlfn.XLOOKUP($A177,'Raw Data'!$A:$A,'Raw Data'!$AX:$AX),"")</f>
        <v/>
      </c>
      <c r="N177" s="230" t="str">
        <f>IFERROR(_xlfn.XLOOKUP($A177,'Raw Data'!$A:$A,'Raw Data'!$AY:$AY),"")</f>
        <v/>
      </c>
      <c r="O177" s="231" t="str">
        <f>IFERROR(1-(SUMIF('Plant BD'!$B:$B,A177,'Plant BD'!$AE:$AE)/(AA177+SUMIF('Plant BD'!$B:$B,A177,'Plant BD'!$AE:$AE))),"")</f>
        <v/>
      </c>
      <c r="P177" s="231"/>
      <c r="Q177" s="232"/>
      <c r="R177" s="231" t="str">
        <f>IFERROR(1-(SUMIF('Grid BD'!$B:$B,$A177,'Grid BD'!$AD:$AD)/($AA177+SUMIF('Grid BD'!$B:$B,$A177,'Grid BD'!AD:AD))),"")</f>
        <v/>
      </c>
      <c r="S177" s="6"/>
      <c r="T177" s="232"/>
      <c r="U177" s="233" t="str">
        <f t="shared" si="13"/>
        <v/>
      </c>
      <c r="V177" s="233"/>
      <c r="W177" s="234" t="str">
        <f t="shared" si="15"/>
        <v/>
      </c>
      <c r="X177" s="227" t="str">
        <f>IFERROR(_xlfn.XLOOKUP($A177,'Raw Data'!$A:$A,'Raw Data'!$BA:$BA),"")</f>
        <v/>
      </c>
      <c r="Y177" s="227" t="str">
        <f>IFERROR(_xlfn.XLOOKUP($A177,'Raw Data'!$A:$A,'Raw Data'!BJ:BJ),"")</f>
        <v/>
      </c>
      <c r="Z177" s="227" t="str">
        <f>IFERROR(_xlfn.XLOOKUP($A177,'Raw Data'!$A:$A,'Raw Data'!BK:BK),"")</f>
        <v/>
      </c>
      <c r="AA177" s="227" t="str">
        <f>IFERROR(_xlfn.XLOOKUP($A177,'Raw Data'!$A:$A,'Raw Data'!BL:BL),"")</f>
        <v/>
      </c>
      <c r="AB177" s="227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27">
        <f>IFERROR(_xlfn.XLOOKUP($D177,'Modelling New'!$D:$D,'Modelling New'!$T:$T)*1000,"")</f>
        <v>91491.490277141027</v>
      </c>
      <c r="AE177" s="234">
        <f>IFERROR(_xlfn.XLOOKUP($D177,'Modelling New'!$D:$D,'Modelling New'!$O:$O),"")</f>
        <v>0.76309492836200032</v>
      </c>
      <c r="AF177" s="234">
        <f>IFERROR(_xlfn.XLOOKUP($D177,'Modelling New'!$D:$D,'Modelling New'!$W:$W),"")</f>
        <v>0.15685840194107786</v>
      </c>
      <c r="AG177" s="234">
        <f>IFERROR(_xlfn.XLOOKUP($D177,'Modelling New'!$D:$D,'Modelling New'!AE:AE),"")</f>
        <v>0.995</v>
      </c>
      <c r="AH177" s="234">
        <v>0.99750000000000005</v>
      </c>
      <c r="AI177" s="6"/>
      <c r="AJ177" s="6"/>
      <c r="AK177" s="6"/>
      <c r="AL177" s="6"/>
      <c r="AM177" s="6"/>
      <c r="AN177" s="231"/>
      <c r="AO177" s="234"/>
      <c r="AP177" s="234"/>
      <c r="AQ177" s="234"/>
      <c r="AR177" s="227">
        <f>IFERROR(_xlfn.XLOOKUP($D177,'Modelling New'!$D:$D,'Modelling New'!$N:$N),"")</f>
        <v>24.303100000000001</v>
      </c>
      <c r="AS177" s="227"/>
    </row>
    <row r="178" spans="1:45" x14ac:dyDescent="0.35">
      <c r="A178" s="226">
        <f t="shared" si="14"/>
        <v>45921</v>
      </c>
      <c r="B178" s="227">
        <f>YEAR(Daily_KPI[[#This Row],[Date]])+IF(MONTH(Daily_KPI[[#This Row],[Date]])&gt;=4,1,0)</f>
        <v>2026</v>
      </c>
      <c r="C178" s="6">
        <f>YEAR(Daily_KPI[[#This Row],[Date]])</f>
        <v>2025</v>
      </c>
      <c r="D178" s="228">
        <f>Daily_KPI[[#This Row],[Date]]-DAY(Daily_KPI[[#This Row],[Date]])+1</f>
        <v>45901</v>
      </c>
      <c r="E178" s="6">
        <f t="shared" si="11"/>
        <v>30</v>
      </c>
      <c r="F178" s="229" t="str">
        <f>IFERROR(_xlfn.XLOOKUP($A178,'Raw Data'!$A:$A,'Raw Data'!$BR:$BR),"")</f>
        <v/>
      </c>
      <c r="G178" s="230" t="str">
        <f>IFERROR(_xlfn.XLOOKUP($A178,'Raw Data'!$A:$A,'Raw Data'!$AO:$AO),"")</f>
        <v/>
      </c>
      <c r="H178" s="230"/>
      <c r="I178" s="230" t="str">
        <f>IFERROR(_xlfn.XLOOKUP($A178,'Raw Data'!$A:$A,'Raw Data'!$AR:$AR),"")</f>
        <v/>
      </c>
      <c r="J178" s="230"/>
      <c r="K178" s="230" t="str">
        <f>IFERROR(_xlfn.XLOOKUP($A178,'Raw Data'!$A:$A,'Raw Data'!$AV:$AV),"")</f>
        <v/>
      </c>
      <c r="L178" s="230" t="str">
        <f>IFERROR(_xlfn.XLOOKUP($A178,'Raw Data'!$A:$A,'Raw Data'!$AW:$AW),"")</f>
        <v/>
      </c>
      <c r="M178" s="230" t="str">
        <f>IFERROR(_xlfn.XLOOKUP($A178,'Raw Data'!$A:$A,'Raw Data'!$AX:$AX),"")</f>
        <v/>
      </c>
      <c r="N178" s="230" t="str">
        <f>IFERROR(_xlfn.XLOOKUP($A178,'Raw Data'!$A:$A,'Raw Data'!$AY:$AY),"")</f>
        <v/>
      </c>
      <c r="O178" s="231" t="str">
        <f>IFERROR(1-(SUMIF('Plant BD'!$B:$B,A178,'Plant BD'!$AE:$AE)/(AA178+SUMIF('Plant BD'!$B:$B,A178,'Plant BD'!$AE:$AE))),"")</f>
        <v/>
      </c>
      <c r="P178" s="231"/>
      <c r="Q178" s="232"/>
      <c r="R178" s="231" t="str">
        <f>IFERROR(1-(SUMIF('Grid BD'!$B:$B,$A178,'Grid BD'!$AD:$AD)/($AA178+SUMIF('Grid BD'!$B:$B,$A178,'Grid BD'!AD:AD))),"")</f>
        <v/>
      </c>
      <c r="S178" s="6"/>
      <c r="T178" s="232"/>
      <c r="U178" s="233" t="str">
        <f t="shared" si="13"/>
        <v/>
      </c>
      <c r="V178" s="233"/>
      <c r="W178" s="234" t="str">
        <f t="shared" si="15"/>
        <v/>
      </c>
      <c r="X178" s="227" t="str">
        <f>IFERROR(_xlfn.XLOOKUP($A178,'Raw Data'!$A:$A,'Raw Data'!$BA:$BA),"")</f>
        <v/>
      </c>
      <c r="Y178" s="227" t="str">
        <f>IFERROR(_xlfn.XLOOKUP($A178,'Raw Data'!$A:$A,'Raw Data'!BJ:BJ),"")</f>
        <v/>
      </c>
      <c r="Z178" s="227" t="str">
        <f>IFERROR(_xlfn.XLOOKUP($A178,'Raw Data'!$A:$A,'Raw Data'!BK:BK),"")</f>
        <v/>
      </c>
      <c r="AA178" s="227" t="str">
        <f>IFERROR(_xlfn.XLOOKUP($A178,'Raw Data'!$A:$A,'Raw Data'!BL:BL),"")</f>
        <v/>
      </c>
      <c r="AB178" s="227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27">
        <f>IFERROR(_xlfn.XLOOKUP($D178,'Modelling New'!$D:$D,'Modelling New'!$T:$T)*1000,"")</f>
        <v>91491.490277141027</v>
      </c>
      <c r="AE178" s="234">
        <f>IFERROR(_xlfn.XLOOKUP($D178,'Modelling New'!$D:$D,'Modelling New'!$O:$O),"")</f>
        <v>0.76309492836200032</v>
      </c>
      <c r="AF178" s="234">
        <f>IFERROR(_xlfn.XLOOKUP($D178,'Modelling New'!$D:$D,'Modelling New'!$W:$W),"")</f>
        <v>0.15685840194107786</v>
      </c>
      <c r="AG178" s="234">
        <f>IFERROR(_xlfn.XLOOKUP($D178,'Modelling New'!$D:$D,'Modelling New'!AE:AE),"")</f>
        <v>0.995</v>
      </c>
      <c r="AH178" s="234">
        <v>0.99750000000000005</v>
      </c>
      <c r="AI178" s="6"/>
      <c r="AJ178" s="6"/>
      <c r="AK178" s="6"/>
      <c r="AL178" s="6"/>
      <c r="AM178" s="6"/>
      <c r="AN178" s="231"/>
      <c r="AO178" s="234"/>
      <c r="AP178" s="234"/>
      <c r="AQ178" s="234"/>
      <c r="AR178" s="227">
        <f>IFERROR(_xlfn.XLOOKUP($D178,'Modelling New'!$D:$D,'Modelling New'!$N:$N),"")</f>
        <v>24.303100000000001</v>
      </c>
      <c r="AS178" s="227"/>
    </row>
    <row r="179" spans="1:45" x14ac:dyDescent="0.35">
      <c r="A179" s="226">
        <f t="shared" si="14"/>
        <v>45922</v>
      </c>
      <c r="B179" s="227">
        <f>YEAR(Daily_KPI[[#This Row],[Date]])+IF(MONTH(Daily_KPI[[#This Row],[Date]])&gt;=4,1,0)</f>
        <v>2026</v>
      </c>
      <c r="C179" s="6">
        <f>YEAR(Daily_KPI[[#This Row],[Date]])</f>
        <v>2025</v>
      </c>
      <c r="D179" s="228">
        <f>Daily_KPI[[#This Row],[Date]]-DAY(Daily_KPI[[#This Row],[Date]])+1</f>
        <v>45901</v>
      </c>
      <c r="E179" s="6">
        <f t="shared" si="11"/>
        <v>30</v>
      </c>
      <c r="F179" s="229" t="str">
        <f>IFERROR(_xlfn.XLOOKUP($A179,'Raw Data'!$A:$A,'Raw Data'!$BR:$BR),"")</f>
        <v/>
      </c>
      <c r="G179" s="230" t="str">
        <f>IFERROR(_xlfn.XLOOKUP($A179,'Raw Data'!$A:$A,'Raw Data'!$AO:$AO),"")</f>
        <v/>
      </c>
      <c r="H179" s="230"/>
      <c r="I179" s="230" t="str">
        <f>IFERROR(_xlfn.XLOOKUP($A179,'Raw Data'!$A:$A,'Raw Data'!$AR:$AR),"")</f>
        <v/>
      </c>
      <c r="J179" s="230"/>
      <c r="K179" s="230" t="str">
        <f>IFERROR(_xlfn.XLOOKUP($A179,'Raw Data'!$A:$A,'Raw Data'!$AV:$AV),"")</f>
        <v/>
      </c>
      <c r="L179" s="230" t="str">
        <f>IFERROR(_xlfn.XLOOKUP($A179,'Raw Data'!$A:$A,'Raw Data'!$AW:$AW),"")</f>
        <v/>
      </c>
      <c r="M179" s="230" t="str">
        <f>IFERROR(_xlfn.XLOOKUP($A179,'Raw Data'!$A:$A,'Raw Data'!$AX:$AX),"")</f>
        <v/>
      </c>
      <c r="N179" s="230" t="str">
        <f>IFERROR(_xlfn.XLOOKUP($A179,'Raw Data'!$A:$A,'Raw Data'!$AY:$AY),"")</f>
        <v/>
      </c>
      <c r="O179" s="231" t="str">
        <f>IFERROR(1-(SUMIF('Plant BD'!$B:$B,A179,'Plant BD'!$AE:$AE)/(AA179+SUMIF('Plant BD'!$B:$B,A179,'Plant BD'!$AE:$AE))),"")</f>
        <v/>
      </c>
      <c r="P179" s="231"/>
      <c r="Q179" s="232"/>
      <c r="R179" s="231" t="str">
        <f>IFERROR(1-(SUMIF('Grid BD'!$B:$B,$A179,'Grid BD'!$AD:$AD)/($AA179+SUMIF('Grid BD'!$B:$B,$A179,'Grid BD'!AD:AD))),"")</f>
        <v/>
      </c>
      <c r="S179" s="6"/>
      <c r="T179" s="232"/>
      <c r="U179" s="233" t="str">
        <f t="shared" si="13"/>
        <v/>
      </c>
      <c r="V179" s="233"/>
      <c r="W179" s="234" t="str">
        <f t="shared" si="15"/>
        <v/>
      </c>
      <c r="X179" s="227" t="str">
        <f>IFERROR(_xlfn.XLOOKUP($A179,'Raw Data'!$A:$A,'Raw Data'!$BA:$BA),"")</f>
        <v/>
      </c>
      <c r="Y179" s="227" t="str">
        <f>IFERROR(_xlfn.XLOOKUP($A179,'Raw Data'!$A:$A,'Raw Data'!BJ:BJ),"")</f>
        <v/>
      </c>
      <c r="Z179" s="227" t="str">
        <f>IFERROR(_xlfn.XLOOKUP($A179,'Raw Data'!$A:$A,'Raw Data'!BK:BK),"")</f>
        <v/>
      </c>
      <c r="AA179" s="227" t="str">
        <f>IFERROR(_xlfn.XLOOKUP($A179,'Raw Data'!$A:$A,'Raw Data'!BL:BL),"")</f>
        <v/>
      </c>
      <c r="AB179" s="227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27">
        <f>IFERROR(_xlfn.XLOOKUP($D179,'Modelling New'!$D:$D,'Modelling New'!$T:$T)*1000,"")</f>
        <v>91491.490277141027</v>
      </c>
      <c r="AE179" s="234">
        <f>IFERROR(_xlfn.XLOOKUP($D179,'Modelling New'!$D:$D,'Modelling New'!$O:$O),"")</f>
        <v>0.76309492836200032</v>
      </c>
      <c r="AF179" s="234">
        <f>IFERROR(_xlfn.XLOOKUP($D179,'Modelling New'!$D:$D,'Modelling New'!$W:$W),"")</f>
        <v>0.15685840194107786</v>
      </c>
      <c r="AG179" s="234">
        <f>IFERROR(_xlfn.XLOOKUP($D179,'Modelling New'!$D:$D,'Modelling New'!AE:AE),"")</f>
        <v>0.995</v>
      </c>
      <c r="AH179" s="234">
        <v>0.99750000000000005</v>
      </c>
      <c r="AI179" s="6"/>
      <c r="AJ179" s="6"/>
      <c r="AK179" s="6"/>
      <c r="AL179" s="6"/>
      <c r="AM179" s="6"/>
      <c r="AN179" s="231"/>
      <c r="AO179" s="234"/>
      <c r="AP179" s="234"/>
      <c r="AQ179" s="234"/>
      <c r="AR179" s="227">
        <f>IFERROR(_xlfn.XLOOKUP($D179,'Modelling New'!$D:$D,'Modelling New'!$N:$N),"")</f>
        <v>24.303100000000001</v>
      </c>
      <c r="AS179" s="227"/>
    </row>
    <row r="180" spans="1:45" x14ac:dyDescent="0.35">
      <c r="A180" s="226">
        <f t="shared" si="14"/>
        <v>45923</v>
      </c>
      <c r="B180" s="227">
        <f>YEAR(Daily_KPI[[#This Row],[Date]])+IF(MONTH(Daily_KPI[[#This Row],[Date]])&gt;=4,1,0)</f>
        <v>2026</v>
      </c>
      <c r="C180" s="6">
        <f>YEAR(Daily_KPI[[#This Row],[Date]])</f>
        <v>2025</v>
      </c>
      <c r="D180" s="228">
        <f>Daily_KPI[[#This Row],[Date]]-DAY(Daily_KPI[[#This Row],[Date]])+1</f>
        <v>45901</v>
      </c>
      <c r="E180" s="6">
        <f t="shared" si="11"/>
        <v>30</v>
      </c>
      <c r="F180" s="229" t="str">
        <f>IFERROR(_xlfn.XLOOKUP($A180,'Raw Data'!$A:$A,'Raw Data'!$BR:$BR),"")</f>
        <v/>
      </c>
      <c r="G180" s="230" t="str">
        <f>IFERROR(_xlfn.XLOOKUP($A180,'Raw Data'!$A:$A,'Raw Data'!$AO:$AO),"")</f>
        <v/>
      </c>
      <c r="H180" s="230"/>
      <c r="I180" s="230" t="str">
        <f>IFERROR(_xlfn.XLOOKUP($A180,'Raw Data'!$A:$A,'Raw Data'!$AR:$AR),"")</f>
        <v/>
      </c>
      <c r="J180" s="230"/>
      <c r="K180" s="230" t="str">
        <f>IFERROR(_xlfn.XLOOKUP($A180,'Raw Data'!$A:$A,'Raw Data'!$AV:$AV),"")</f>
        <v/>
      </c>
      <c r="L180" s="230" t="str">
        <f>IFERROR(_xlfn.XLOOKUP($A180,'Raw Data'!$A:$A,'Raw Data'!$AW:$AW),"")</f>
        <v/>
      </c>
      <c r="M180" s="230" t="str">
        <f>IFERROR(_xlfn.XLOOKUP($A180,'Raw Data'!$A:$A,'Raw Data'!$AX:$AX),"")</f>
        <v/>
      </c>
      <c r="N180" s="230" t="str">
        <f>IFERROR(_xlfn.XLOOKUP($A180,'Raw Data'!$A:$A,'Raw Data'!$AY:$AY),"")</f>
        <v/>
      </c>
      <c r="O180" s="231" t="str">
        <f>IFERROR(1-(SUMIF('Plant BD'!$B:$B,A180,'Plant BD'!$AE:$AE)/(AA180+SUMIF('Plant BD'!$B:$B,A180,'Plant BD'!$AE:$AE))),"")</f>
        <v/>
      </c>
      <c r="P180" s="231"/>
      <c r="Q180" s="232"/>
      <c r="R180" s="231" t="str">
        <f>IFERROR(1-(SUMIF('Grid BD'!$B:$B,$A180,'Grid BD'!$AD:$AD)/($AA180+SUMIF('Grid BD'!$B:$B,$A180,'Grid BD'!AD:AD))),"")</f>
        <v/>
      </c>
      <c r="S180" s="6"/>
      <c r="T180" s="232"/>
      <c r="U180" s="233" t="str">
        <f t="shared" si="13"/>
        <v/>
      </c>
      <c r="V180" s="233"/>
      <c r="W180" s="234" t="str">
        <f t="shared" si="15"/>
        <v/>
      </c>
      <c r="X180" s="227" t="str">
        <f>IFERROR(_xlfn.XLOOKUP($A180,'Raw Data'!$A:$A,'Raw Data'!$BA:$BA),"")</f>
        <v/>
      </c>
      <c r="Y180" s="227" t="str">
        <f>IFERROR(_xlfn.XLOOKUP($A180,'Raw Data'!$A:$A,'Raw Data'!BJ:BJ),"")</f>
        <v/>
      </c>
      <c r="Z180" s="227" t="str">
        <f>IFERROR(_xlfn.XLOOKUP($A180,'Raw Data'!$A:$A,'Raw Data'!BK:BK),"")</f>
        <v/>
      </c>
      <c r="AA180" s="227" t="str">
        <f>IFERROR(_xlfn.XLOOKUP($A180,'Raw Data'!$A:$A,'Raw Data'!BL:BL),"")</f>
        <v/>
      </c>
      <c r="AB180" s="227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27">
        <f>IFERROR(_xlfn.XLOOKUP($D180,'Modelling New'!$D:$D,'Modelling New'!$T:$T)*1000,"")</f>
        <v>91491.490277141027</v>
      </c>
      <c r="AE180" s="234">
        <f>IFERROR(_xlfn.XLOOKUP($D180,'Modelling New'!$D:$D,'Modelling New'!$O:$O),"")</f>
        <v>0.76309492836200032</v>
      </c>
      <c r="AF180" s="234">
        <f>IFERROR(_xlfn.XLOOKUP($D180,'Modelling New'!$D:$D,'Modelling New'!$W:$W),"")</f>
        <v>0.15685840194107786</v>
      </c>
      <c r="AG180" s="234">
        <f>IFERROR(_xlfn.XLOOKUP($D180,'Modelling New'!$D:$D,'Modelling New'!AE:AE),"")</f>
        <v>0.995</v>
      </c>
      <c r="AH180" s="234">
        <v>0.99750000000000005</v>
      </c>
      <c r="AI180" s="6"/>
      <c r="AJ180" s="6"/>
      <c r="AK180" s="6"/>
      <c r="AL180" s="6"/>
      <c r="AM180" s="6"/>
      <c r="AN180" s="231"/>
      <c r="AO180" s="234"/>
      <c r="AP180" s="234"/>
      <c r="AQ180" s="234"/>
      <c r="AR180" s="227">
        <f>IFERROR(_xlfn.XLOOKUP($D180,'Modelling New'!$D:$D,'Modelling New'!$N:$N),"")</f>
        <v>24.303100000000001</v>
      </c>
      <c r="AS180" s="227"/>
    </row>
    <row r="181" spans="1:45" x14ac:dyDescent="0.35">
      <c r="A181" s="226">
        <f t="shared" si="14"/>
        <v>45924</v>
      </c>
      <c r="B181" s="227">
        <f>YEAR(Daily_KPI[[#This Row],[Date]])+IF(MONTH(Daily_KPI[[#This Row],[Date]])&gt;=4,1,0)</f>
        <v>2026</v>
      </c>
      <c r="C181" s="6">
        <f>YEAR(Daily_KPI[[#This Row],[Date]])</f>
        <v>2025</v>
      </c>
      <c r="D181" s="228">
        <f>Daily_KPI[[#This Row],[Date]]-DAY(Daily_KPI[[#This Row],[Date]])+1</f>
        <v>45901</v>
      </c>
      <c r="E181" s="6">
        <f t="shared" ref="E181:E244" si="16">DAY(EOMONTH(A181,0))</f>
        <v>30</v>
      </c>
      <c r="F181" s="229" t="str">
        <f>IFERROR(_xlfn.XLOOKUP($A181,'Raw Data'!$A:$A,'Raw Data'!$BR:$BR),"")</f>
        <v/>
      </c>
      <c r="G181" s="230" t="str">
        <f>IFERROR(_xlfn.XLOOKUP($A181,'Raw Data'!$A:$A,'Raw Data'!$AO:$AO),"")</f>
        <v/>
      </c>
      <c r="H181" s="230"/>
      <c r="I181" s="230" t="str">
        <f>IFERROR(_xlfn.XLOOKUP($A181,'Raw Data'!$A:$A,'Raw Data'!$AR:$AR),"")</f>
        <v/>
      </c>
      <c r="J181" s="230"/>
      <c r="K181" s="230" t="str">
        <f>IFERROR(_xlfn.XLOOKUP($A181,'Raw Data'!$A:$A,'Raw Data'!$AV:$AV),"")</f>
        <v/>
      </c>
      <c r="L181" s="230" t="str">
        <f>IFERROR(_xlfn.XLOOKUP($A181,'Raw Data'!$A:$A,'Raw Data'!$AW:$AW),"")</f>
        <v/>
      </c>
      <c r="M181" s="230" t="str">
        <f>IFERROR(_xlfn.XLOOKUP($A181,'Raw Data'!$A:$A,'Raw Data'!$AX:$AX),"")</f>
        <v/>
      </c>
      <c r="N181" s="230" t="str">
        <f>IFERROR(_xlfn.XLOOKUP($A181,'Raw Data'!$A:$A,'Raw Data'!$AY:$AY),"")</f>
        <v/>
      </c>
      <c r="O181" s="231" t="str">
        <f>IFERROR(1-(SUMIF('Plant BD'!$B:$B,A181,'Plant BD'!$AE:$AE)/(AA181+SUMIF('Plant BD'!$B:$B,A181,'Plant BD'!$AE:$AE))),"")</f>
        <v/>
      </c>
      <c r="P181" s="231"/>
      <c r="Q181" s="232"/>
      <c r="R181" s="231" t="str">
        <f>IFERROR(1-(SUMIF('Grid BD'!$B:$B,$A181,'Grid BD'!$AD:$AD)/($AA181+SUMIF('Grid BD'!$B:$B,$A181,'Grid BD'!AD:AD))),"")</f>
        <v/>
      </c>
      <c r="S181" s="6"/>
      <c r="T181" s="232"/>
      <c r="U181" s="233" t="str">
        <f t="shared" si="13"/>
        <v/>
      </c>
      <c r="V181" s="233"/>
      <c r="W181" s="234" t="str">
        <f t="shared" si="15"/>
        <v/>
      </c>
      <c r="X181" s="227" t="str">
        <f>IFERROR(_xlfn.XLOOKUP($A181,'Raw Data'!$A:$A,'Raw Data'!$BA:$BA),"")</f>
        <v/>
      </c>
      <c r="Y181" s="227" t="str">
        <f>IFERROR(_xlfn.XLOOKUP($A181,'Raw Data'!$A:$A,'Raw Data'!BJ:BJ),"")</f>
        <v/>
      </c>
      <c r="Z181" s="227" t="str">
        <f>IFERROR(_xlfn.XLOOKUP($A181,'Raw Data'!$A:$A,'Raw Data'!BK:BK),"")</f>
        <v/>
      </c>
      <c r="AA181" s="227" t="str">
        <f>IFERROR(_xlfn.XLOOKUP($A181,'Raw Data'!$A:$A,'Raw Data'!BL:BL),"")</f>
        <v/>
      </c>
      <c r="AB181" s="227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27">
        <f>IFERROR(_xlfn.XLOOKUP($D181,'Modelling New'!$D:$D,'Modelling New'!$T:$T)*1000,"")</f>
        <v>91491.490277141027</v>
      </c>
      <c r="AE181" s="234">
        <f>IFERROR(_xlfn.XLOOKUP($D181,'Modelling New'!$D:$D,'Modelling New'!$O:$O),"")</f>
        <v>0.76309492836200032</v>
      </c>
      <c r="AF181" s="234">
        <f>IFERROR(_xlfn.XLOOKUP($D181,'Modelling New'!$D:$D,'Modelling New'!$W:$W),"")</f>
        <v>0.15685840194107786</v>
      </c>
      <c r="AG181" s="234">
        <f>IFERROR(_xlfn.XLOOKUP($D181,'Modelling New'!$D:$D,'Modelling New'!AE:AE),"")</f>
        <v>0.995</v>
      </c>
      <c r="AH181" s="234">
        <v>0.99750000000000005</v>
      </c>
      <c r="AI181" s="6"/>
      <c r="AJ181" s="6"/>
      <c r="AK181" s="6"/>
      <c r="AL181" s="6"/>
      <c r="AM181" s="6"/>
      <c r="AN181" s="231"/>
      <c r="AO181" s="234"/>
      <c r="AP181" s="234"/>
      <c r="AQ181" s="234"/>
      <c r="AR181" s="227">
        <f>IFERROR(_xlfn.XLOOKUP($D181,'Modelling New'!$D:$D,'Modelling New'!$N:$N),"")</f>
        <v>24.303100000000001</v>
      </c>
      <c r="AS181" s="227"/>
    </row>
    <row r="182" spans="1:45" x14ac:dyDescent="0.35">
      <c r="A182" s="226">
        <f t="shared" si="14"/>
        <v>45925</v>
      </c>
      <c r="B182" s="227">
        <f>YEAR(Daily_KPI[[#This Row],[Date]])+IF(MONTH(Daily_KPI[[#This Row],[Date]])&gt;=4,1,0)</f>
        <v>2026</v>
      </c>
      <c r="C182" s="6">
        <f>YEAR(Daily_KPI[[#This Row],[Date]])</f>
        <v>2025</v>
      </c>
      <c r="D182" s="228">
        <f>Daily_KPI[[#This Row],[Date]]-DAY(Daily_KPI[[#This Row],[Date]])+1</f>
        <v>45901</v>
      </c>
      <c r="E182" s="6">
        <f t="shared" si="16"/>
        <v>30</v>
      </c>
      <c r="F182" s="229" t="str">
        <f>IFERROR(_xlfn.XLOOKUP($A182,'Raw Data'!$A:$A,'Raw Data'!$BR:$BR),"")</f>
        <v/>
      </c>
      <c r="G182" s="230" t="str">
        <f>IFERROR(_xlfn.XLOOKUP($A182,'Raw Data'!$A:$A,'Raw Data'!$AO:$AO),"")</f>
        <v/>
      </c>
      <c r="H182" s="230"/>
      <c r="I182" s="230" t="str">
        <f>IFERROR(_xlfn.XLOOKUP($A182,'Raw Data'!$A:$A,'Raw Data'!$AR:$AR),"")</f>
        <v/>
      </c>
      <c r="J182" s="230"/>
      <c r="K182" s="230" t="str">
        <f>IFERROR(_xlfn.XLOOKUP($A182,'Raw Data'!$A:$A,'Raw Data'!$AV:$AV),"")</f>
        <v/>
      </c>
      <c r="L182" s="230" t="str">
        <f>IFERROR(_xlfn.XLOOKUP($A182,'Raw Data'!$A:$A,'Raw Data'!$AW:$AW),"")</f>
        <v/>
      </c>
      <c r="M182" s="230" t="str">
        <f>IFERROR(_xlfn.XLOOKUP($A182,'Raw Data'!$A:$A,'Raw Data'!$AX:$AX),"")</f>
        <v/>
      </c>
      <c r="N182" s="230" t="str">
        <f>IFERROR(_xlfn.XLOOKUP($A182,'Raw Data'!$A:$A,'Raw Data'!$AY:$AY),"")</f>
        <v/>
      </c>
      <c r="O182" s="231" t="str">
        <f>IFERROR(1-(SUMIF('Plant BD'!$B:$B,A182,'Plant BD'!$AE:$AE)/(AA182+SUMIF('Plant BD'!$B:$B,A182,'Plant BD'!$AE:$AE))),"")</f>
        <v/>
      </c>
      <c r="P182" s="231"/>
      <c r="Q182" s="232"/>
      <c r="R182" s="231" t="str">
        <f>IFERROR(1-(SUMIF('Grid BD'!$B:$B,$A182,'Grid BD'!$AD:$AD)/($AA182+SUMIF('Grid BD'!$B:$B,$A182,'Grid BD'!AD:AD))),"")</f>
        <v/>
      </c>
      <c r="S182" s="6"/>
      <c r="T182" s="232"/>
      <c r="U182" s="233" t="str">
        <f t="shared" si="13"/>
        <v/>
      </c>
      <c r="V182" s="233"/>
      <c r="W182" s="234" t="str">
        <f t="shared" si="15"/>
        <v/>
      </c>
      <c r="X182" s="227" t="str">
        <f>IFERROR(_xlfn.XLOOKUP($A182,'Raw Data'!$A:$A,'Raw Data'!$BA:$BA),"")</f>
        <v/>
      </c>
      <c r="Y182" s="227" t="str">
        <f>IFERROR(_xlfn.XLOOKUP($A182,'Raw Data'!$A:$A,'Raw Data'!BJ:BJ),"")</f>
        <v/>
      </c>
      <c r="Z182" s="227" t="str">
        <f>IFERROR(_xlfn.XLOOKUP($A182,'Raw Data'!$A:$A,'Raw Data'!BK:BK),"")</f>
        <v/>
      </c>
      <c r="AA182" s="227" t="str">
        <f>IFERROR(_xlfn.XLOOKUP($A182,'Raw Data'!$A:$A,'Raw Data'!BL:BL),"")</f>
        <v/>
      </c>
      <c r="AB182" s="227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27">
        <f>IFERROR(_xlfn.XLOOKUP($D182,'Modelling New'!$D:$D,'Modelling New'!$T:$T)*1000,"")</f>
        <v>91491.490277141027</v>
      </c>
      <c r="AE182" s="234">
        <f>IFERROR(_xlfn.XLOOKUP($D182,'Modelling New'!$D:$D,'Modelling New'!$O:$O),"")</f>
        <v>0.76309492836200032</v>
      </c>
      <c r="AF182" s="234">
        <f>IFERROR(_xlfn.XLOOKUP($D182,'Modelling New'!$D:$D,'Modelling New'!$W:$W),"")</f>
        <v>0.15685840194107786</v>
      </c>
      <c r="AG182" s="234">
        <f>IFERROR(_xlfn.XLOOKUP($D182,'Modelling New'!$D:$D,'Modelling New'!AE:AE),"")</f>
        <v>0.995</v>
      </c>
      <c r="AH182" s="234">
        <v>0.99750000000000005</v>
      </c>
      <c r="AI182" s="6"/>
      <c r="AJ182" s="6"/>
      <c r="AK182" s="6"/>
      <c r="AL182" s="6"/>
      <c r="AM182" s="6"/>
      <c r="AN182" s="231"/>
      <c r="AO182" s="234"/>
      <c r="AP182" s="234"/>
      <c r="AQ182" s="234"/>
      <c r="AR182" s="227">
        <f>IFERROR(_xlfn.XLOOKUP($D182,'Modelling New'!$D:$D,'Modelling New'!$N:$N),"")</f>
        <v>24.303100000000001</v>
      </c>
      <c r="AS182" s="227"/>
    </row>
    <row r="183" spans="1:45" x14ac:dyDescent="0.35">
      <c r="A183" s="226">
        <f t="shared" si="14"/>
        <v>45926</v>
      </c>
      <c r="B183" s="227">
        <f>YEAR(Daily_KPI[[#This Row],[Date]])+IF(MONTH(Daily_KPI[[#This Row],[Date]])&gt;=4,1,0)</f>
        <v>2026</v>
      </c>
      <c r="C183" s="6">
        <f>YEAR(Daily_KPI[[#This Row],[Date]])</f>
        <v>2025</v>
      </c>
      <c r="D183" s="228">
        <f>Daily_KPI[[#This Row],[Date]]-DAY(Daily_KPI[[#This Row],[Date]])+1</f>
        <v>45901</v>
      </c>
      <c r="E183" s="6">
        <f t="shared" si="16"/>
        <v>30</v>
      </c>
      <c r="F183" s="229" t="str">
        <f>IFERROR(_xlfn.XLOOKUP($A183,'Raw Data'!$A:$A,'Raw Data'!$BR:$BR),"")</f>
        <v/>
      </c>
      <c r="G183" s="230" t="str">
        <f>IFERROR(_xlfn.XLOOKUP($A183,'Raw Data'!$A:$A,'Raw Data'!$AO:$AO),"")</f>
        <v/>
      </c>
      <c r="H183" s="230"/>
      <c r="I183" s="230" t="str">
        <f>IFERROR(_xlfn.XLOOKUP($A183,'Raw Data'!$A:$A,'Raw Data'!$AR:$AR),"")</f>
        <v/>
      </c>
      <c r="J183" s="230"/>
      <c r="K183" s="230" t="str">
        <f>IFERROR(_xlfn.XLOOKUP($A183,'Raw Data'!$A:$A,'Raw Data'!$AV:$AV),"")</f>
        <v/>
      </c>
      <c r="L183" s="230" t="str">
        <f>IFERROR(_xlfn.XLOOKUP($A183,'Raw Data'!$A:$A,'Raw Data'!$AW:$AW),"")</f>
        <v/>
      </c>
      <c r="M183" s="230" t="str">
        <f>IFERROR(_xlfn.XLOOKUP($A183,'Raw Data'!$A:$A,'Raw Data'!$AX:$AX),"")</f>
        <v/>
      </c>
      <c r="N183" s="230" t="str">
        <f>IFERROR(_xlfn.XLOOKUP($A183,'Raw Data'!$A:$A,'Raw Data'!$AY:$AY),"")</f>
        <v/>
      </c>
      <c r="O183" s="231" t="str">
        <f>IFERROR(1-(SUMIF('Plant BD'!$B:$B,A183,'Plant BD'!$AE:$AE)/(AA183+SUMIF('Plant BD'!$B:$B,A183,'Plant BD'!$AE:$AE))),"")</f>
        <v/>
      </c>
      <c r="P183" s="231"/>
      <c r="Q183" s="232"/>
      <c r="R183" s="231" t="str">
        <f>IFERROR(1-(SUMIF('Grid BD'!$B:$B,$A183,'Grid BD'!$AD:$AD)/($AA183+SUMIF('Grid BD'!$B:$B,$A183,'Grid BD'!AD:AD))),"")</f>
        <v/>
      </c>
      <c r="S183" s="6"/>
      <c r="T183" s="232"/>
      <c r="U183" s="233" t="str">
        <f t="shared" si="13"/>
        <v/>
      </c>
      <c r="V183" s="233"/>
      <c r="W183" s="234" t="str">
        <f t="shared" si="15"/>
        <v/>
      </c>
      <c r="X183" s="227" t="str">
        <f>IFERROR(_xlfn.XLOOKUP($A183,'Raw Data'!$A:$A,'Raw Data'!$BA:$BA),"")</f>
        <v/>
      </c>
      <c r="Y183" s="227" t="str">
        <f>IFERROR(_xlfn.XLOOKUP($A183,'Raw Data'!$A:$A,'Raw Data'!BJ:BJ),"")</f>
        <v/>
      </c>
      <c r="Z183" s="227" t="str">
        <f>IFERROR(_xlfn.XLOOKUP($A183,'Raw Data'!$A:$A,'Raw Data'!BK:BK),"")</f>
        <v/>
      </c>
      <c r="AA183" s="227" t="str">
        <f>IFERROR(_xlfn.XLOOKUP($A183,'Raw Data'!$A:$A,'Raw Data'!BL:BL),"")</f>
        <v/>
      </c>
      <c r="AB183" s="227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27">
        <f>IFERROR(_xlfn.XLOOKUP($D183,'Modelling New'!$D:$D,'Modelling New'!$T:$T)*1000,"")</f>
        <v>91491.490277141027</v>
      </c>
      <c r="AE183" s="234">
        <f>IFERROR(_xlfn.XLOOKUP($D183,'Modelling New'!$D:$D,'Modelling New'!$O:$O),"")</f>
        <v>0.76309492836200032</v>
      </c>
      <c r="AF183" s="234">
        <f>IFERROR(_xlfn.XLOOKUP($D183,'Modelling New'!$D:$D,'Modelling New'!$W:$W),"")</f>
        <v>0.15685840194107786</v>
      </c>
      <c r="AG183" s="234">
        <f>IFERROR(_xlfn.XLOOKUP($D183,'Modelling New'!$D:$D,'Modelling New'!AE:AE),"")</f>
        <v>0.995</v>
      </c>
      <c r="AH183" s="234">
        <v>0.99750000000000005</v>
      </c>
      <c r="AI183" s="6"/>
      <c r="AJ183" s="6"/>
      <c r="AK183" s="6"/>
      <c r="AL183" s="6"/>
      <c r="AM183" s="6"/>
      <c r="AN183" s="231"/>
      <c r="AO183" s="234"/>
      <c r="AP183" s="234"/>
      <c r="AQ183" s="234"/>
      <c r="AR183" s="227">
        <f>IFERROR(_xlfn.XLOOKUP($D183,'Modelling New'!$D:$D,'Modelling New'!$N:$N),"")</f>
        <v>24.303100000000001</v>
      </c>
      <c r="AS183" s="227"/>
    </row>
    <row r="184" spans="1:45" x14ac:dyDescent="0.35">
      <c r="A184" s="226">
        <f t="shared" si="14"/>
        <v>45927</v>
      </c>
      <c r="B184" s="227">
        <f>YEAR(Daily_KPI[[#This Row],[Date]])+IF(MONTH(Daily_KPI[[#This Row],[Date]])&gt;=4,1,0)</f>
        <v>2026</v>
      </c>
      <c r="C184" s="6">
        <f>YEAR(Daily_KPI[[#This Row],[Date]])</f>
        <v>2025</v>
      </c>
      <c r="D184" s="228">
        <f>Daily_KPI[[#This Row],[Date]]-DAY(Daily_KPI[[#This Row],[Date]])+1</f>
        <v>45901</v>
      </c>
      <c r="E184" s="6">
        <f t="shared" si="16"/>
        <v>30</v>
      </c>
      <c r="F184" s="229" t="str">
        <f>IFERROR(_xlfn.XLOOKUP($A184,'Raw Data'!$A:$A,'Raw Data'!$BR:$BR),"")</f>
        <v/>
      </c>
      <c r="G184" s="230" t="str">
        <f>IFERROR(_xlfn.XLOOKUP($A184,'Raw Data'!$A:$A,'Raw Data'!$AO:$AO),"")</f>
        <v/>
      </c>
      <c r="H184" s="230"/>
      <c r="I184" s="230" t="str">
        <f>IFERROR(_xlfn.XLOOKUP($A184,'Raw Data'!$A:$A,'Raw Data'!$AR:$AR),"")</f>
        <v/>
      </c>
      <c r="J184" s="230"/>
      <c r="K184" s="230" t="str">
        <f>IFERROR(_xlfn.XLOOKUP($A184,'Raw Data'!$A:$A,'Raw Data'!$AV:$AV),"")</f>
        <v/>
      </c>
      <c r="L184" s="230" t="str">
        <f>IFERROR(_xlfn.XLOOKUP($A184,'Raw Data'!$A:$A,'Raw Data'!$AW:$AW),"")</f>
        <v/>
      </c>
      <c r="M184" s="230" t="str">
        <f>IFERROR(_xlfn.XLOOKUP($A184,'Raw Data'!$A:$A,'Raw Data'!$AX:$AX),"")</f>
        <v/>
      </c>
      <c r="N184" s="230" t="str">
        <f>IFERROR(_xlfn.XLOOKUP($A184,'Raw Data'!$A:$A,'Raw Data'!$AY:$AY),"")</f>
        <v/>
      </c>
      <c r="O184" s="231" t="str">
        <f>IFERROR(1-(SUMIF('Plant BD'!$B:$B,A184,'Plant BD'!$AE:$AE)/(AA184+SUMIF('Plant BD'!$B:$B,A184,'Plant BD'!$AE:$AE))),"")</f>
        <v/>
      </c>
      <c r="P184" s="231"/>
      <c r="Q184" s="232"/>
      <c r="R184" s="231" t="str">
        <f>IFERROR(1-(SUMIF('Grid BD'!$B:$B,$A184,'Grid BD'!$AD:$AD)/($AA184+SUMIF('Grid BD'!$B:$B,$A184,'Grid BD'!AD:AD))),"")</f>
        <v/>
      </c>
      <c r="S184" s="6"/>
      <c r="T184" s="232"/>
      <c r="U184" s="233" t="str">
        <f t="shared" si="13"/>
        <v/>
      </c>
      <c r="V184" s="233"/>
      <c r="W184" s="234" t="str">
        <f t="shared" si="15"/>
        <v/>
      </c>
      <c r="X184" s="227" t="str">
        <f>IFERROR(_xlfn.XLOOKUP($A184,'Raw Data'!$A:$A,'Raw Data'!$BA:$BA),"")</f>
        <v/>
      </c>
      <c r="Y184" s="227" t="str">
        <f>IFERROR(_xlfn.XLOOKUP($A184,'Raw Data'!$A:$A,'Raw Data'!BJ:BJ),"")</f>
        <v/>
      </c>
      <c r="Z184" s="227" t="str">
        <f>IFERROR(_xlfn.XLOOKUP($A184,'Raw Data'!$A:$A,'Raw Data'!BK:BK),"")</f>
        <v/>
      </c>
      <c r="AA184" s="227" t="str">
        <f>IFERROR(_xlfn.XLOOKUP($A184,'Raw Data'!$A:$A,'Raw Data'!BL:BL),"")</f>
        <v/>
      </c>
      <c r="AB184" s="227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27">
        <f>IFERROR(_xlfn.XLOOKUP($D184,'Modelling New'!$D:$D,'Modelling New'!$T:$T)*1000,"")</f>
        <v>91491.490277141027</v>
      </c>
      <c r="AE184" s="234">
        <f>IFERROR(_xlfn.XLOOKUP($D184,'Modelling New'!$D:$D,'Modelling New'!$O:$O),"")</f>
        <v>0.76309492836200032</v>
      </c>
      <c r="AF184" s="234">
        <f>IFERROR(_xlfn.XLOOKUP($D184,'Modelling New'!$D:$D,'Modelling New'!$W:$W),"")</f>
        <v>0.15685840194107786</v>
      </c>
      <c r="AG184" s="234">
        <f>IFERROR(_xlfn.XLOOKUP($D184,'Modelling New'!$D:$D,'Modelling New'!AE:AE),"")</f>
        <v>0.995</v>
      </c>
      <c r="AH184" s="234">
        <v>0.99750000000000005</v>
      </c>
      <c r="AI184" s="6"/>
      <c r="AJ184" s="6"/>
      <c r="AK184" s="6"/>
      <c r="AL184" s="6"/>
      <c r="AM184" s="6"/>
      <c r="AN184" s="231"/>
      <c r="AO184" s="234"/>
      <c r="AP184" s="234"/>
      <c r="AQ184" s="234"/>
      <c r="AR184" s="227">
        <f>IFERROR(_xlfn.XLOOKUP($D184,'Modelling New'!$D:$D,'Modelling New'!$N:$N),"")</f>
        <v>24.303100000000001</v>
      </c>
      <c r="AS184" s="227"/>
    </row>
    <row r="185" spans="1:45" x14ac:dyDescent="0.35">
      <c r="A185" s="226">
        <f t="shared" si="14"/>
        <v>45928</v>
      </c>
      <c r="B185" s="227">
        <f>YEAR(Daily_KPI[[#This Row],[Date]])+IF(MONTH(Daily_KPI[[#This Row],[Date]])&gt;=4,1,0)</f>
        <v>2026</v>
      </c>
      <c r="C185" s="6">
        <f>YEAR(Daily_KPI[[#This Row],[Date]])</f>
        <v>2025</v>
      </c>
      <c r="D185" s="228">
        <f>Daily_KPI[[#This Row],[Date]]-DAY(Daily_KPI[[#This Row],[Date]])+1</f>
        <v>45901</v>
      </c>
      <c r="E185" s="6">
        <f t="shared" si="16"/>
        <v>30</v>
      </c>
      <c r="F185" s="229" t="str">
        <f>IFERROR(_xlfn.XLOOKUP($A185,'Raw Data'!$A:$A,'Raw Data'!$BR:$BR),"")</f>
        <v/>
      </c>
      <c r="G185" s="230" t="str">
        <f>IFERROR(_xlfn.XLOOKUP($A185,'Raw Data'!$A:$A,'Raw Data'!$AO:$AO),"")</f>
        <v/>
      </c>
      <c r="H185" s="230"/>
      <c r="I185" s="230" t="str">
        <f>IFERROR(_xlfn.XLOOKUP($A185,'Raw Data'!$A:$A,'Raw Data'!$AR:$AR),"")</f>
        <v/>
      </c>
      <c r="J185" s="230"/>
      <c r="K185" s="230" t="str">
        <f>IFERROR(_xlfn.XLOOKUP($A185,'Raw Data'!$A:$A,'Raw Data'!$AV:$AV),"")</f>
        <v/>
      </c>
      <c r="L185" s="230" t="str">
        <f>IFERROR(_xlfn.XLOOKUP($A185,'Raw Data'!$A:$A,'Raw Data'!$AW:$AW),"")</f>
        <v/>
      </c>
      <c r="M185" s="230" t="str">
        <f>IFERROR(_xlfn.XLOOKUP($A185,'Raw Data'!$A:$A,'Raw Data'!$AX:$AX),"")</f>
        <v/>
      </c>
      <c r="N185" s="230" t="str">
        <f>IFERROR(_xlfn.XLOOKUP($A185,'Raw Data'!$A:$A,'Raw Data'!$AY:$AY),"")</f>
        <v/>
      </c>
      <c r="O185" s="231" t="str">
        <f>IFERROR(1-(SUMIF('Plant BD'!$B:$B,A185,'Plant BD'!$AE:$AE)/(AA185+SUMIF('Plant BD'!$B:$B,A185,'Plant BD'!$AE:$AE))),"")</f>
        <v/>
      </c>
      <c r="P185" s="231"/>
      <c r="Q185" s="232"/>
      <c r="R185" s="231" t="str">
        <f>IFERROR(1-(SUMIF('Grid BD'!$B:$B,$A185,'Grid BD'!$AD:$AD)/($AA185+SUMIF('Grid BD'!$B:$B,$A185,'Grid BD'!AD:AD))),"")</f>
        <v/>
      </c>
      <c r="S185" s="6"/>
      <c r="T185" s="232"/>
      <c r="U185" s="233" t="str">
        <f t="shared" si="13"/>
        <v/>
      </c>
      <c r="V185" s="233"/>
      <c r="W185" s="234" t="str">
        <f t="shared" si="15"/>
        <v/>
      </c>
      <c r="X185" s="227" t="str">
        <f>IFERROR(_xlfn.XLOOKUP($A185,'Raw Data'!$A:$A,'Raw Data'!$BA:$BA),"")</f>
        <v/>
      </c>
      <c r="Y185" s="227" t="str">
        <f>IFERROR(_xlfn.XLOOKUP($A185,'Raw Data'!$A:$A,'Raw Data'!BJ:BJ),"")</f>
        <v/>
      </c>
      <c r="Z185" s="227" t="str">
        <f>IFERROR(_xlfn.XLOOKUP($A185,'Raw Data'!$A:$A,'Raw Data'!BK:BK),"")</f>
        <v/>
      </c>
      <c r="AA185" s="227" t="str">
        <f>IFERROR(_xlfn.XLOOKUP($A185,'Raw Data'!$A:$A,'Raw Data'!BL:BL),"")</f>
        <v/>
      </c>
      <c r="AB185" s="227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27">
        <f>IFERROR(_xlfn.XLOOKUP($D185,'Modelling New'!$D:$D,'Modelling New'!$T:$T)*1000,"")</f>
        <v>91491.490277141027</v>
      </c>
      <c r="AE185" s="234">
        <f>IFERROR(_xlfn.XLOOKUP($D185,'Modelling New'!$D:$D,'Modelling New'!$O:$O),"")</f>
        <v>0.76309492836200032</v>
      </c>
      <c r="AF185" s="234">
        <f>IFERROR(_xlfn.XLOOKUP($D185,'Modelling New'!$D:$D,'Modelling New'!$W:$W),"")</f>
        <v>0.15685840194107786</v>
      </c>
      <c r="AG185" s="234">
        <f>IFERROR(_xlfn.XLOOKUP($D185,'Modelling New'!$D:$D,'Modelling New'!AE:AE),"")</f>
        <v>0.995</v>
      </c>
      <c r="AH185" s="234">
        <v>0.99750000000000005</v>
      </c>
      <c r="AI185" s="6"/>
      <c r="AJ185" s="6"/>
      <c r="AK185" s="6"/>
      <c r="AL185" s="6"/>
      <c r="AM185" s="6"/>
      <c r="AN185" s="231"/>
      <c r="AO185" s="234"/>
      <c r="AP185" s="234"/>
      <c r="AQ185" s="234"/>
      <c r="AR185" s="227">
        <f>IFERROR(_xlfn.XLOOKUP($D185,'Modelling New'!$D:$D,'Modelling New'!$N:$N),"")</f>
        <v>24.303100000000001</v>
      </c>
      <c r="AS185" s="227"/>
    </row>
    <row r="186" spans="1:45" x14ac:dyDescent="0.35">
      <c r="A186" s="226">
        <f t="shared" si="14"/>
        <v>45929</v>
      </c>
      <c r="B186" s="227">
        <f>YEAR(Daily_KPI[[#This Row],[Date]])+IF(MONTH(Daily_KPI[[#This Row],[Date]])&gt;=4,1,0)</f>
        <v>2026</v>
      </c>
      <c r="C186" s="6">
        <f>YEAR(Daily_KPI[[#This Row],[Date]])</f>
        <v>2025</v>
      </c>
      <c r="D186" s="228">
        <f>Daily_KPI[[#This Row],[Date]]-DAY(Daily_KPI[[#This Row],[Date]])+1</f>
        <v>45901</v>
      </c>
      <c r="E186" s="6">
        <f t="shared" si="16"/>
        <v>30</v>
      </c>
      <c r="F186" s="229" t="str">
        <f>IFERROR(_xlfn.XLOOKUP($A186,'Raw Data'!$A:$A,'Raw Data'!$BR:$BR),"")</f>
        <v/>
      </c>
      <c r="G186" s="230" t="str">
        <f>IFERROR(_xlfn.XLOOKUP($A186,'Raw Data'!$A:$A,'Raw Data'!$AO:$AO),"")</f>
        <v/>
      </c>
      <c r="H186" s="230"/>
      <c r="I186" s="230" t="str">
        <f>IFERROR(_xlfn.XLOOKUP($A186,'Raw Data'!$A:$A,'Raw Data'!$AR:$AR),"")</f>
        <v/>
      </c>
      <c r="J186" s="230"/>
      <c r="K186" s="230" t="str">
        <f>IFERROR(_xlfn.XLOOKUP($A186,'Raw Data'!$A:$A,'Raw Data'!$AV:$AV),"")</f>
        <v/>
      </c>
      <c r="L186" s="230" t="str">
        <f>IFERROR(_xlfn.XLOOKUP($A186,'Raw Data'!$A:$A,'Raw Data'!$AW:$AW),"")</f>
        <v/>
      </c>
      <c r="M186" s="230" t="str">
        <f>IFERROR(_xlfn.XLOOKUP($A186,'Raw Data'!$A:$A,'Raw Data'!$AX:$AX),"")</f>
        <v/>
      </c>
      <c r="N186" s="230" t="str">
        <f>IFERROR(_xlfn.XLOOKUP($A186,'Raw Data'!$A:$A,'Raw Data'!$AY:$AY),"")</f>
        <v/>
      </c>
      <c r="O186" s="231" t="str">
        <f>IFERROR(1-(SUMIF('Plant BD'!$B:$B,A186,'Plant BD'!$AE:$AE)/(AA186+SUMIF('Plant BD'!$B:$B,A186,'Plant BD'!$AE:$AE))),"")</f>
        <v/>
      </c>
      <c r="P186" s="231"/>
      <c r="Q186" s="232"/>
      <c r="R186" s="231" t="str">
        <f>IFERROR(1-(SUMIF('Grid BD'!$B:$B,$A186,'Grid BD'!$AD:$AD)/($AA186+SUMIF('Grid BD'!$B:$B,$A186,'Grid BD'!AD:AD))),"")</f>
        <v/>
      </c>
      <c r="S186" s="6"/>
      <c r="T186" s="232"/>
      <c r="U186" s="233" t="str">
        <f t="shared" si="13"/>
        <v/>
      </c>
      <c r="V186" s="233"/>
      <c r="W186" s="234" t="str">
        <f t="shared" si="15"/>
        <v/>
      </c>
      <c r="X186" s="227" t="str">
        <f>IFERROR(_xlfn.XLOOKUP($A186,'Raw Data'!$A:$A,'Raw Data'!$BA:$BA),"")</f>
        <v/>
      </c>
      <c r="Y186" s="227" t="str">
        <f>IFERROR(_xlfn.XLOOKUP($A186,'Raw Data'!$A:$A,'Raw Data'!BJ:BJ),"")</f>
        <v/>
      </c>
      <c r="Z186" s="227" t="str">
        <f>IFERROR(_xlfn.XLOOKUP($A186,'Raw Data'!$A:$A,'Raw Data'!BK:BK),"")</f>
        <v/>
      </c>
      <c r="AA186" s="227" t="str">
        <f>IFERROR(_xlfn.XLOOKUP($A186,'Raw Data'!$A:$A,'Raw Data'!BL:BL),"")</f>
        <v/>
      </c>
      <c r="AB186" s="227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27">
        <f>IFERROR(_xlfn.XLOOKUP($D186,'Modelling New'!$D:$D,'Modelling New'!$T:$T)*1000,"")</f>
        <v>91491.490277141027</v>
      </c>
      <c r="AE186" s="234">
        <f>IFERROR(_xlfn.XLOOKUP($D186,'Modelling New'!$D:$D,'Modelling New'!$O:$O),"")</f>
        <v>0.76309492836200032</v>
      </c>
      <c r="AF186" s="234">
        <f>IFERROR(_xlfn.XLOOKUP($D186,'Modelling New'!$D:$D,'Modelling New'!$W:$W),"")</f>
        <v>0.15685840194107786</v>
      </c>
      <c r="AG186" s="234">
        <f>IFERROR(_xlfn.XLOOKUP($D186,'Modelling New'!$D:$D,'Modelling New'!AE:AE),"")</f>
        <v>0.995</v>
      </c>
      <c r="AH186" s="234">
        <v>0.99750000000000005</v>
      </c>
      <c r="AI186" s="6"/>
      <c r="AJ186" s="6"/>
      <c r="AK186" s="6"/>
      <c r="AL186" s="6"/>
      <c r="AM186" s="6"/>
      <c r="AN186" s="231"/>
      <c r="AO186" s="234"/>
      <c r="AP186" s="234"/>
      <c r="AQ186" s="234"/>
      <c r="AR186" s="227">
        <f>IFERROR(_xlfn.XLOOKUP($D186,'Modelling New'!$D:$D,'Modelling New'!$N:$N),"")</f>
        <v>24.303100000000001</v>
      </c>
      <c r="AS186" s="227"/>
    </row>
    <row r="187" spans="1:45" x14ac:dyDescent="0.35">
      <c r="A187" s="226">
        <f t="shared" si="14"/>
        <v>45930</v>
      </c>
      <c r="B187" s="227">
        <f>YEAR(Daily_KPI[[#This Row],[Date]])+IF(MONTH(Daily_KPI[[#This Row],[Date]])&gt;=4,1,0)</f>
        <v>2026</v>
      </c>
      <c r="C187" s="6">
        <f>YEAR(Daily_KPI[[#This Row],[Date]])</f>
        <v>2025</v>
      </c>
      <c r="D187" s="228">
        <f>Daily_KPI[[#This Row],[Date]]-DAY(Daily_KPI[[#This Row],[Date]])+1</f>
        <v>45901</v>
      </c>
      <c r="E187" s="6">
        <f t="shared" si="16"/>
        <v>30</v>
      </c>
      <c r="F187" s="229" t="str">
        <f>IFERROR(_xlfn.XLOOKUP($A187,'Raw Data'!$A:$A,'Raw Data'!$BR:$BR),"")</f>
        <v/>
      </c>
      <c r="G187" s="230" t="str">
        <f>IFERROR(_xlfn.XLOOKUP($A187,'Raw Data'!$A:$A,'Raw Data'!$AO:$AO),"")</f>
        <v/>
      </c>
      <c r="H187" s="230"/>
      <c r="I187" s="230" t="str">
        <f>IFERROR(_xlfn.XLOOKUP($A187,'Raw Data'!$A:$A,'Raw Data'!$AR:$AR),"")</f>
        <v/>
      </c>
      <c r="J187" s="230"/>
      <c r="K187" s="230" t="str">
        <f>IFERROR(_xlfn.XLOOKUP($A187,'Raw Data'!$A:$A,'Raw Data'!$AV:$AV),"")</f>
        <v/>
      </c>
      <c r="L187" s="230" t="str">
        <f>IFERROR(_xlfn.XLOOKUP($A187,'Raw Data'!$A:$A,'Raw Data'!$AW:$AW),"")</f>
        <v/>
      </c>
      <c r="M187" s="230" t="str">
        <f>IFERROR(_xlfn.XLOOKUP($A187,'Raw Data'!$A:$A,'Raw Data'!$AX:$AX),"")</f>
        <v/>
      </c>
      <c r="N187" s="230" t="str">
        <f>IFERROR(_xlfn.XLOOKUP($A187,'Raw Data'!$A:$A,'Raw Data'!$AY:$AY),"")</f>
        <v/>
      </c>
      <c r="O187" s="231" t="str">
        <f>IFERROR(1-(SUMIF('Plant BD'!$B:$B,A187,'Plant BD'!$AE:$AE)/(AA187+SUMIF('Plant BD'!$B:$B,A187,'Plant BD'!$AE:$AE))),"")</f>
        <v/>
      </c>
      <c r="P187" s="231"/>
      <c r="Q187" s="232"/>
      <c r="R187" s="231" t="str">
        <f>IFERROR(1-(SUMIF('Grid BD'!$B:$B,$A187,'Grid BD'!$AD:$AD)/($AA187+SUMIF('Grid BD'!$B:$B,$A187,'Grid BD'!AD:AD))),"")</f>
        <v/>
      </c>
      <c r="S187" s="6"/>
      <c r="T187" s="232"/>
      <c r="U187" s="233" t="str">
        <f t="shared" si="13"/>
        <v/>
      </c>
      <c r="V187" s="233"/>
      <c r="W187" s="234" t="str">
        <f t="shared" si="15"/>
        <v/>
      </c>
      <c r="X187" s="227" t="str">
        <f>IFERROR(_xlfn.XLOOKUP($A187,'Raw Data'!$A:$A,'Raw Data'!$BA:$BA),"")</f>
        <v/>
      </c>
      <c r="Y187" s="227" t="str">
        <f>IFERROR(_xlfn.XLOOKUP($A187,'Raw Data'!$A:$A,'Raw Data'!BJ:BJ),"")</f>
        <v/>
      </c>
      <c r="Z187" s="227" t="str">
        <f>IFERROR(_xlfn.XLOOKUP($A187,'Raw Data'!$A:$A,'Raw Data'!BK:BK),"")</f>
        <v/>
      </c>
      <c r="AA187" s="227" t="str">
        <f>IFERROR(_xlfn.XLOOKUP($A187,'Raw Data'!$A:$A,'Raw Data'!BL:BL),"")</f>
        <v/>
      </c>
      <c r="AB187" s="227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27">
        <f>IFERROR(_xlfn.XLOOKUP($D187,'Modelling New'!$D:$D,'Modelling New'!$T:$T)*1000,"")</f>
        <v>91491.490277141027</v>
      </c>
      <c r="AE187" s="234">
        <f>IFERROR(_xlfn.XLOOKUP($D187,'Modelling New'!$D:$D,'Modelling New'!$O:$O),"")</f>
        <v>0.76309492836200032</v>
      </c>
      <c r="AF187" s="234">
        <f>IFERROR(_xlfn.XLOOKUP($D187,'Modelling New'!$D:$D,'Modelling New'!$W:$W),"")</f>
        <v>0.15685840194107786</v>
      </c>
      <c r="AG187" s="234">
        <f>IFERROR(_xlfn.XLOOKUP($D187,'Modelling New'!$D:$D,'Modelling New'!AE:AE),"")</f>
        <v>0.995</v>
      </c>
      <c r="AH187" s="234">
        <v>0.99750000000000005</v>
      </c>
      <c r="AI187" s="6"/>
      <c r="AJ187" s="6"/>
      <c r="AK187" s="6"/>
      <c r="AL187" s="6"/>
      <c r="AM187" s="6"/>
      <c r="AN187" s="231"/>
      <c r="AO187" s="234"/>
      <c r="AP187" s="234"/>
      <c r="AQ187" s="234"/>
      <c r="AR187" s="227">
        <f>IFERROR(_xlfn.XLOOKUP($D187,'Modelling New'!$D:$D,'Modelling New'!$N:$N),"")</f>
        <v>24.303100000000001</v>
      </c>
      <c r="AS187" s="227"/>
    </row>
    <row r="188" spans="1:45" x14ac:dyDescent="0.35">
      <c r="A188" s="226">
        <f t="shared" si="14"/>
        <v>45931</v>
      </c>
      <c r="B188" s="227">
        <f>YEAR(Daily_KPI[[#This Row],[Date]])+IF(MONTH(Daily_KPI[[#This Row],[Date]])&gt;=4,1,0)</f>
        <v>2026</v>
      </c>
      <c r="C188" s="6">
        <f>YEAR(Daily_KPI[[#This Row],[Date]])</f>
        <v>2025</v>
      </c>
      <c r="D188" s="228">
        <f>Daily_KPI[[#This Row],[Date]]-DAY(Daily_KPI[[#This Row],[Date]])+1</f>
        <v>45931</v>
      </c>
      <c r="E188" s="6">
        <f t="shared" si="16"/>
        <v>31</v>
      </c>
      <c r="F188" s="229" t="str">
        <f>IFERROR(_xlfn.XLOOKUP($A188,'Raw Data'!$A:$A,'Raw Data'!$BR:$BR),"")</f>
        <v/>
      </c>
      <c r="G188" s="230" t="str">
        <f>IFERROR(_xlfn.XLOOKUP($A188,'Raw Data'!$A:$A,'Raw Data'!$AO:$AO),"")</f>
        <v/>
      </c>
      <c r="H188" s="230"/>
      <c r="I188" s="230" t="str">
        <f>IFERROR(_xlfn.XLOOKUP($A188,'Raw Data'!$A:$A,'Raw Data'!$AR:$AR),"")</f>
        <v/>
      </c>
      <c r="J188" s="230"/>
      <c r="K188" s="230" t="str">
        <f>IFERROR(_xlfn.XLOOKUP($A188,'Raw Data'!$A:$A,'Raw Data'!$AV:$AV),"")</f>
        <v/>
      </c>
      <c r="L188" s="230" t="str">
        <f>IFERROR(_xlfn.XLOOKUP($A188,'Raw Data'!$A:$A,'Raw Data'!$AW:$AW),"")</f>
        <v/>
      </c>
      <c r="M188" s="230" t="str">
        <f>IFERROR(_xlfn.XLOOKUP($A188,'Raw Data'!$A:$A,'Raw Data'!$AX:$AX),"")</f>
        <v/>
      </c>
      <c r="N188" s="230" t="str">
        <f>IFERROR(_xlfn.XLOOKUP($A188,'Raw Data'!$A:$A,'Raw Data'!$AY:$AY),"")</f>
        <v/>
      </c>
      <c r="O188" s="231" t="str">
        <f>IFERROR(1-(SUMIF('Plant BD'!$B:$B,A188,'Plant BD'!$AE:$AE)/(AA188+SUMIF('Plant BD'!$B:$B,A188,'Plant BD'!$AE:$AE))),"")</f>
        <v/>
      </c>
      <c r="P188" s="231"/>
      <c r="Q188" s="232"/>
      <c r="R188" s="231" t="str">
        <f>IFERROR(1-(SUMIF('Grid BD'!$B:$B,$A188,'Grid BD'!$AD:$AD)/($AA188+SUMIF('Grid BD'!$B:$B,$A188,'Grid BD'!AD:AD))),"")</f>
        <v/>
      </c>
      <c r="S188" s="6"/>
      <c r="T188" s="232"/>
      <c r="U188" s="233" t="str">
        <f t="shared" si="13"/>
        <v/>
      </c>
      <c r="V188" s="233"/>
      <c r="W188" s="234" t="str">
        <f t="shared" si="15"/>
        <v/>
      </c>
      <c r="X188" s="227" t="str">
        <f>IFERROR(_xlfn.XLOOKUP($A188,'Raw Data'!$A:$A,'Raw Data'!$BA:$BA),"")</f>
        <v/>
      </c>
      <c r="Y188" s="227" t="str">
        <f>IFERROR(_xlfn.XLOOKUP($A188,'Raw Data'!$A:$A,'Raw Data'!BJ:BJ),"")</f>
        <v/>
      </c>
      <c r="Z188" s="227" t="str">
        <f>IFERROR(_xlfn.XLOOKUP($A188,'Raw Data'!$A:$A,'Raw Data'!BK:BK),"")</f>
        <v/>
      </c>
      <c r="AA188" s="227" t="str">
        <f>IFERROR(_xlfn.XLOOKUP($A188,'Raw Data'!$A:$A,'Raw Data'!BL:BL),"")</f>
        <v/>
      </c>
      <c r="AB188" s="227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27">
        <f>IFERROR(_xlfn.XLOOKUP($D188,'Modelling New'!$D:$D,'Modelling New'!$T:$T)*1000,"")</f>
        <v>108757.04807292875</v>
      </c>
      <c r="AE188" s="234">
        <f>IFERROR(_xlfn.XLOOKUP($D188,'Modelling New'!$D:$D,'Modelling New'!$O:$O),"")</f>
        <v>0.74145302903300359</v>
      </c>
      <c r="AF188" s="234">
        <f>IFERROR(_xlfn.XLOOKUP($D188,'Modelling New'!$D:$D,'Modelling New'!$W:$W),"")</f>
        <v>0.18645949157536959</v>
      </c>
      <c r="AG188" s="234">
        <f>IFERROR(_xlfn.XLOOKUP($D188,'Modelling New'!$D:$D,'Modelling New'!AE:AE),"")</f>
        <v>0.995</v>
      </c>
      <c r="AH188" s="234">
        <v>0.99750000000000005</v>
      </c>
      <c r="AI188" s="6"/>
      <c r="AJ188" s="6"/>
      <c r="AK188" s="6"/>
      <c r="AL188" s="6"/>
      <c r="AM188" s="6"/>
      <c r="AN188" s="231"/>
      <c r="AO188" s="234"/>
      <c r="AP188" s="234"/>
      <c r="AQ188" s="234"/>
      <c r="AR188" s="227">
        <f>IFERROR(_xlfn.XLOOKUP($D188,'Modelling New'!$D:$D,'Modelling New'!$N:$N),"")</f>
        <v>24.303100000000001</v>
      </c>
      <c r="AS188" s="227"/>
    </row>
    <row r="189" spans="1:45" x14ac:dyDescent="0.35">
      <c r="A189" s="226">
        <f t="shared" si="14"/>
        <v>45932</v>
      </c>
      <c r="B189" s="227">
        <f>YEAR(Daily_KPI[[#This Row],[Date]])+IF(MONTH(Daily_KPI[[#This Row],[Date]])&gt;=4,1,0)</f>
        <v>2026</v>
      </c>
      <c r="C189" s="6">
        <f>YEAR(Daily_KPI[[#This Row],[Date]])</f>
        <v>2025</v>
      </c>
      <c r="D189" s="228">
        <f>Daily_KPI[[#This Row],[Date]]-DAY(Daily_KPI[[#This Row],[Date]])+1</f>
        <v>45931</v>
      </c>
      <c r="E189" s="6">
        <f t="shared" si="16"/>
        <v>31</v>
      </c>
      <c r="F189" s="229" t="str">
        <f>IFERROR(_xlfn.XLOOKUP($A189,'Raw Data'!$A:$A,'Raw Data'!$BR:$BR),"")</f>
        <v/>
      </c>
      <c r="G189" s="230" t="str">
        <f>IFERROR(_xlfn.XLOOKUP($A189,'Raw Data'!$A:$A,'Raw Data'!$AO:$AO),"")</f>
        <v/>
      </c>
      <c r="H189" s="230"/>
      <c r="I189" s="230" t="str">
        <f>IFERROR(_xlfn.XLOOKUP($A189,'Raw Data'!$A:$A,'Raw Data'!$AR:$AR),"")</f>
        <v/>
      </c>
      <c r="J189" s="230"/>
      <c r="K189" s="230" t="str">
        <f>IFERROR(_xlfn.XLOOKUP($A189,'Raw Data'!$A:$A,'Raw Data'!$AV:$AV),"")</f>
        <v/>
      </c>
      <c r="L189" s="230" t="str">
        <f>IFERROR(_xlfn.XLOOKUP($A189,'Raw Data'!$A:$A,'Raw Data'!$AW:$AW),"")</f>
        <v/>
      </c>
      <c r="M189" s="230" t="str">
        <f>IFERROR(_xlfn.XLOOKUP($A189,'Raw Data'!$A:$A,'Raw Data'!$AX:$AX),"")</f>
        <v/>
      </c>
      <c r="N189" s="230" t="str">
        <f>IFERROR(_xlfn.XLOOKUP($A189,'Raw Data'!$A:$A,'Raw Data'!$AY:$AY),"")</f>
        <v/>
      </c>
      <c r="O189" s="231" t="str">
        <f>IFERROR(1-(SUMIF('Plant BD'!$B:$B,A189,'Plant BD'!$AE:$AE)/(AA189+SUMIF('Plant BD'!$B:$B,A189,'Plant BD'!$AE:$AE))),"")</f>
        <v/>
      </c>
      <c r="P189" s="231"/>
      <c r="Q189" s="232"/>
      <c r="R189" s="231" t="str">
        <f>IFERROR(1-(SUMIF('Grid BD'!$B:$B,$A189,'Grid BD'!$AD:$AD)/($AA189+SUMIF('Grid BD'!$B:$B,$A189,'Grid BD'!AD:AD))),"")</f>
        <v/>
      </c>
      <c r="S189" s="6"/>
      <c r="T189" s="232"/>
      <c r="U189" s="233" t="str">
        <f t="shared" si="13"/>
        <v/>
      </c>
      <c r="V189" s="233"/>
      <c r="W189" s="234" t="str">
        <f t="shared" si="15"/>
        <v/>
      </c>
      <c r="X189" s="227" t="str">
        <f>IFERROR(_xlfn.XLOOKUP($A189,'Raw Data'!$A:$A,'Raw Data'!$BA:$BA),"")</f>
        <v/>
      </c>
      <c r="Y189" s="227" t="str">
        <f>IFERROR(_xlfn.XLOOKUP($A189,'Raw Data'!$A:$A,'Raw Data'!BJ:BJ),"")</f>
        <v/>
      </c>
      <c r="Z189" s="227" t="str">
        <f>IFERROR(_xlfn.XLOOKUP($A189,'Raw Data'!$A:$A,'Raw Data'!BK:BK),"")</f>
        <v/>
      </c>
      <c r="AA189" s="227" t="str">
        <f>IFERROR(_xlfn.XLOOKUP($A189,'Raw Data'!$A:$A,'Raw Data'!BL:BL),"")</f>
        <v/>
      </c>
      <c r="AB189" s="227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27">
        <f>IFERROR(_xlfn.XLOOKUP($D189,'Modelling New'!$D:$D,'Modelling New'!$T:$T)*1000,"")</f>
        <v>108757.04807292875</v>
      </c>
      <c r="AE189" s="234">
        <f>IFERROR(_xlfn.XLOOKUP($D189,'Modelling New'!$D:$D,'Modelling New'!$O:$O),"")</f>
        <v>0.74145302903300359</v>
      </c>
      <c r="AF189" s="234">
        <f>IFERROR(_xlfn.XLOOKUP($D189,'Modelling New'!$D:$D,'Modelling New'!$W:$W),"")</f>
        <v>0.18645949157536959</v>
      </c>
      <c r="AG189" s="234">
        <f>IFERROR(_xlfn.XLOOKUP($D189,'Modelling New'!$D:$D,'Modelling New'!AE:AE),"")</f>
        <v>0.995</v>
      </c>
      <c r="AH189" s="234">
        <v>0.99750000000000005</v>
      </c>
      <c r="AI189" s="6"/>
      <c r="AJ189" s="6"/>
      <c r="AK189" s="6"/>
      <c r="AL189" s="6"/>
      <c r="AM189" s="6"/>
      <c r="AN189" s="231"/>
      <c r="AO189" s="234"/>
      <c r="AP189" s="234"/>
      <c r="AQ189" s="234"/>
      <c r="AR189" s="227">
        <f>IFERROR(_xlfn.XLOOKUP($D189,'Modelling New'!$D:$D,'Modelling New'!$N:$N),"")</f>
        <v>24.303100000000001</v>
      </c>
      <c r="AS189" s="227"/>
    </row>
    <row r="190" spans="1:45" x14ac:dyDescent="0.35">
      <c r="A190" s="226">
        <f t="shared" si="14"/>
        <v>45933</v>
      </c>
      <c r="B190" s="227">
        <f>YEAR(Daily_KPI[[#This Row],[Date]])+IF(MONTH(Daily_KPI[[#This Row],[Date]])&gt;=4,1,0)</f>
        <v>2026</v>
      </c>
      <c r="C190" s="6">
        <f>YEAR(Daily_KPI[[#This Row],[Date]])</f>
        <v>2025</v>
      </c>
      <c r="D190" s="228">
        <f>Daily_KPI[[#This Row],[Date]]-DAY(Daily_KPI[[#This Row],[Date]])+1</f>
        <v>45931</v>
      </c>
      <c r="E190" s="6">
        <f t="shared" si="16"/>
        <v>31</v>
      </c>
      <c r="F190" s="229" t="str">
        <f>IFERROR(_xlfn.XLOOKUP($A190,'Raw Data'!$A:$A,'Raw Data'!$BR:$BR),"")</f>
        <v/>
      </c>
      <c r="G190" s="230" t="str">
        <f>IFERROR(_xlfn.XLOOKUP($A190,'Raw Data'!$A:$A,'Raw Data'!$AO:$AO),"")</f>
        <v/>
      </c>
      <c r="H190" s="230"/>
      <c r="I190" s="230" t="str">
        <f>IFERROR(_xlfn.XLOOKUP($A190,'Raw Data'!$A:$A,'Raw Data'!$AR:$AR),"")</f>
        <v/>
      </c>
      <c r="J190" s="230"/>
      <c r="K190" s="230" t="str">
        <f>IFERROR(_xlfn.XLOOKUP($A190,'Raw Data'!$A:$A,'Raw Data'!$AV:$AV),"")</f>
        <v/>
      </c>
      <c r="L190" s="230" t="str">
        <f>IFERROR(_xlfn.XLOOKUP($A190,'Raw Data'!$A:$A,'Raw Data'!$AW:$AW),"")</f>
        <v/>
      </c>
      <c r="M190" s="230" t="str">
        <f>IFERROR(_xlfn.XLOOKUP($A190,'Raw Data'!$A:$A,'Raw Data'!$AX:$AX),"")</f>
        <v/>
      </c>
      <c r="N190" s="230" t="str">
        <f>IFERROR(_xlfn.XLOOKUP($A190,'Raw Data'!$A:$A,'Raw Data'!$AY:$AY),"")</f>
        <v/>
      </c>
      <c r="O190" s="231" t="str">
        <f>IFERROR(1-(SUMIF('Plant BD'!$B:$B,A190,'Plant BD'!$AE:$AE)/(AA190+SUMIF('Plant BD'!$B:$B,A190,'Plant BD'!$AE:$AE))),"")</f>
        <v/>
      </c>
      <c r="P190" s="231"/>
      <c r="Q190" s="232"/>
      <c r="R190" s="231" t="str">
        <f>IFERROR(1-(SUMIF('Grid BD'!$B:$B,$A190,'Grid BD'!$AD:$AD)/($AA190+SUMIF('Grid BD'!$B:$B,$A190,'Grid BD'!AD:AD))),"")</f>
        <v/>
      </c>
      <c r="S190" s="6"/>
      <c r="T190" s="232"/>
      <c r="U190" s="233" t="str">
        <f t="shared" si="13"/>
        <v/>
      </c>
      <c r="V190" s="233"/>
      <c r="W190" s="234" t="str">
        <f t="shared" si="15"/>
        <v/>
      </c>
      <c r="X190" s="227" t="str">
        <f>IFERROR(_xlfn.XLOOKUP($A190,'Raw Data'!$A:$A,'Raw Data'!$BA:$BA),"")</f>
        <v/>
      </c>
      <c r="Y190" s="227" t="str">
        <f>IFERROR(_xlfn.XLOOKUP($A190,'Raw Data'!$A:$A,'Raw Data'!BJ:BJ),"")</f>
        <v/>
      </c>
      <c r="Z190" s="227" t="str">
        <f>IFERROR(_xlfn.XLOOKUP($A190,'Raw Data'!$A:$A,'Raw Data'!BK:BK),"")</f>
        <v/>
      </c>
      <c r="AA190" s="227" t="str">
        <f>IFERROR(_xlfn.XLOOKUP($A190,'Raw Data'!$A:$A,'Raw Data'!BL:BL),"")</f>
        <v/>
      </c>
      <c r="AB190" s="227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27">
        <f>IFERROR(_xlfn.XLOOKUP($D190,'Modelling New'!$D:$D,'Modelling New'!$T:$T)*1000,"")</f>
        <v>108757.04807292875</v>
      </c>
      <c r="AE190" s="234">
        <f>IFERROR(_xlfn.XLOOKUP($D190,'Modelling New'!$D:$D,'Modelling New'!$O:$O),"")</f>
        <v>0.74145302903300359</v>
      </c>
      <c r="AF190" s="234">
        <f>IFERROR(_xlfn.XLOOKUP($D190,'Modelling New'!$D:$D,'Modelling New'!$W:$W),"")</f>
        <v>0.18645949157536959</v>
      </c>
      <c r="AG190" s="234">
        <f>IFERROR(_xlfn.XLOOKUP($D190,'Modelling New'!$D:$D,'Modelling New'!AE:AE),"")</f>
        <v>0.995</v>
      </c>
      <c r="AH190" s="234">
        <v>0.99750000000000005</v>
      </c>
      <c r="AI190" s="6"/>
      <c r="AJ190" s="6"/>
      <c r="AK190" s="6"/>
      <c r="AL190" s="6"/>
      <c r="AM190" s="6"/>
      <c r="AN190" s="231"/>
      <c r="AO190" s="234"/>
      <c r="AP190" s="234"/>
      <c r="AQ190" s="234"/>
      <c r="AR190" s="227">
        <f>IFERROR(_xlfn.XLOOKUP($D190,'Modelling New'!$D:$D,'Modelling New'!$N:$N),"")</f>
        <v>24.303100000000001</v>
      </c>
      <c r="AS190" s="227"/>
    </row>
    <row r="191" spans="1:45" x14ac:dyDescent="0.35">
      <c r="A191" s="226">
        <f t="shared" si="14"/>
        <v>45934</v>
      </c>
      <c r="B191" s="227">
        <f>YEAR(Daily_KPI[[#This Row],[Date]])+IF(MONTH(Daily_KPI[[#This Row],[Date]])&gt;=4,1,0)</f>
        <v>2026</v>
      </c>
      <c r="C191" s="6">
        <f>YEAR(Daily_KPI[[#This Row],[Date]])</f>
        <v>2025</v>
      </c>
      <c r="D191" s="228">
        <f>Daily_KPI[[#This Row],[Date]]-DAY(Daily_KPI[[#This Row],[Date]])+1</f>
        <v>45931</v>
      </c>
      <c r="E191" s="6">
        <f t="shared" si="16"/>
        <v>31</v>
      </c>
      <c r="F191" s="229" t="str">
        <f>IFERROR(_xlfn.XLOOKUP($A191,'Raw Data'!$A:$A,'Raw Data'!$BR:$BR),"")</f>
        <v/>
      </c>
      <c r="G191" s="230" t="str">
        <f>IFERROR(_xlfn.XLOOKUP($A191,'Raw Data'!$A:$A,'Raw Data'!$AO:$AO),"")</f>
        <v/>
      </c>
      <c r="H191" s="230"/>
      <c r="I191" s="230" t="str">
        <f>IFERROR(_xlfn.XLOOKUP($A191,'Raw Data'!$A:$A,'Raw Data'!$AR:$AR),"")</f>
        <v/>
      </c>
      <c r="J191" s="230"/>
      <c r="K191" s="230" t="str">
        <f>IFERROR(_xlfn.XLOOKUP($A191,'Raw Data'!$A:$A,'Raw Data'!$AV:$AV),"")</f>
        <v/>
      </c>
      <c r="L191" s="230" t="str">
        <f>IFERROR(_xlfn.XLOOKUP($A191,'Raw Data'!$A:$A,'Raw Data'!$AW:$AW),"")</f>
        <v/>
      </c>
      <c r="M191" s="230" t="str">
        <f>IFERROR(_xlfn.XLOOKUP($A191,'Raw Data'!$A:$A,'Raw Data'!$AX:$AX),"")</f>
        <v/>
      </c>
      <c r="N191" s="230" t="str">
        <f>IFERROR(_xlfn.XLOOKUP($A191,'Raw Data'!$A:$A,'Raw Data'!$AY:$AY),"")</f>
        <v/>
      </c>
      <c r="O191" s="231" t="str">
        <f>IFERROR(1-(SUMIF('Plant BD'!$B:$B,A191,'Plant BD'!$AE:$AE)/(AA191+SUMIF('Plant BD'!$B:$B,A191,'Plant BD'!$AE:$AE))),"")</f>
        <v/>
      </c>
      <c r="P191" s="231"/>
      <c r="Q191" s="232"/>
      <c r="R191" s="231" t="str">
        <f>IFERROR(1-(SUMIF('Grid BD'!$B:$B,$A191,'Grid BD'!$AD:$AD)/($AA191+SUMIF('Grid BD'!$B:$B,$A191,'Grid BD'!AD:AD))),"")</f>
        <v/>
      </c>
      <c r="S191" s="6"/>
      <c r="T191" s="232"/>
      <c r="U191" s="233" t="str">
        <f t="shared" si="13"/>
        <v/>
      </c>
      <c r="V191" s="233"/>
      <c r="W191" s="234" t="str">
        <f t="shared" si="15"/>
        <v/>
      </c>
      <c r="X191" s="227" t="str">
        <f>IFERROR(_xlfn.XLOOKUP($A191,'Raw Data'!$A:$A,'Raw Data'!$BA:$BA),"")</f>
        <v/>
      </c>
      <c r="Y191" s="227" t="str">
        <f>IFERROR(_xlfn.XLOOKUP($A191,'Raw Data'!$A:$A,'Raw Data'!BJ:BJ),"")</f>
        <v/>
      </c>
      <c r="Z191" s="227" t="str">
        <f>IFERROR(_xlfn.XLOOKUP($A191,'Raw Data'!$A:$A,'Raw Data'!BK:BK),"")</f>
        <v/>
      </c>
      <c r="AA191" s="227" t="str">
        <f>IFERROR(_xlfn.XLOOKUP($A191,'Raw Data'!$A:$A,'Raw Data'!BL:BL),"")</f>
        <v/>
      </c>
      <c r="AB191" s="227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27">
        <f>IFERROR(_xlfn.XLOOKUP($D191,'Modelling New'!$D:$D,'Modelling New'!$T:$T)*1000,"")</f>
        <v>108757.04807292875</v>
      </c>
      <c r="AE191" s="234">
        <f>IFERROR(_xlfn.XLOOKUP($D191,'Modelling New'!$D:$D,'Modelling New'!$O:$O),"")</f>
        <v>0.74145302903300359</v>
      </c>
      <c r="AF191" s="234">
        <f>IFERROR(_xlfn.XLOOKUP($D191,'Modelling New'!$D:$D,'Modelling New'!$W:$W),"")</f>
        <v>0.18645949157536959</v>
      </c>
      <c r="AG191" s="234">
        <f>IFERROR(_xlfn.XLOOKUP($D191,'Modelling New'!$D:$D,'Modelling New'!AE:AE),"")</f>
        <v>0.995</v>
      </c>
      <c r="AH191" s="234">
        <v>0.99750000000000005</v>
      </c>
      <c r="AI191" s="6"/>
      <c r="AJ191" s="6"/>
      <c r="AK191" s="6"/>
      <c r="AL191" s="6"/>
      <c r="AM191" s="6"/>
      <c r="AN191" s="231"/>
      <c r="AO191" s="234"/>
      <c r="AP191" s="234"/>
      <c r="AQ191" s="234"/>
      <c r="AR191" s="227">
        <f>IFERROR(_xlfn.XLOOKUP($D191,'Modelling New'!$D:$D,'Modelling New'!$N:$N),"")</f>
        <v>24.303100000000001</v>
      </c>
      <c r="AS191" s="227"/>
    </row>
    <row r="192" spans="1:45" x14ac:dyDescent="0.35">
      <c r="A192" s="226">
        <f t="shared" si="14"/>
        <v>45935</v>
      </c>
      <c r="B192" s="227">
        <f>YEAR(Daily_KPI[[#This Row],[Date]])+IF(MONTH(Daily_KPI[[#This Row],[Date]])&gt;=4,1,0)</f>
        <v>2026</v>
      </c>
      <c r="C192" s="6">
        <f>YEAR(Daily_KPI[[#This Row],[Date]])</f>
        <v>2025</v>
      </c>
      <c r="D192" s="228">
        <f>Daily_KPI[[#This Row],[Date]]-DAY(Daily_KPI[[#This Row],[Date]])+1</f>
        <v>45931</v>
      </c>
      <c r="E192" s="6">
        <f t="shared" si="16"/>
        <v>31</v>
      </c>
      <c r="F192" s="229" t="str">
        <f>IFERROR(_xlfn.XLOOKUP($A192,'Raw Data'!$A:$A,'Raw Data'!$BR:$BR),"")</f>
        <v/>
      </c>
      <c r="G192" s="230" t="str">
        <f>IFERROR(_xlfn.XLOOKUP($A192,'Raw Data'!$A:$A,'Raw Data'!$AO:$AO),"")</f>
        <v/>
      </c>
      <c r="H192" s="230"/>
      <c r="I192" s="230" t="str">
        <f>IFERROR(_xlfn.XLOOKUP($A192,'Raw Data'!$A:$A,'Raw Data'!$AR:$AR),"")</f>
        <v/>
      </c>
      <c r="J192" s="230"/>
      <c r="K192" s="230" t="str">
        <f>IFERROR(_xlfn.XLOOKUP($A192,'Raw Data'!$A:$A,'Raw Data'!$AV:$AV),"")</f>
        <v/>
      </c>
      <c r="L192" s="230" t="str">
        <f>IFERROR(_xlfn.XLOOKUP($A192,'Raw Data'!$A:$A,'Raw Data'!$AW:$AW),"")</f>
        <v/>
      </c>
      <c r="M192" s="230" t="str">
        <f>IFERROR(_xlfn.XLOOKUP($A192,'Raw Data'!$A:$A,'Raw Data'!$AX:$AX),"")</f>
        <v/>
      </c>
      <c r="N192" s="230" t="str">
        <f>IFERROR(_xlfn.XLOOKUP($A192,'Raw Data'!$A:$A,'Raw Data'!$AY:$AY),"")</f>
        <v/>
      </c>
      <c r="O192" s="231" t="str">
        <f>IFERROR(1-(SUMIF('Plant BD'!$B:$B,A192,'Plant BD'!$AE:$AE)/(AA192+SUMIF('Plant BD'!$B:$B,A192,'Plant BD'!$AE:$AE))),"")</f>
        <v/>
      </c>
      <c r="P192" s="231"/>
      <c r="Q192" s="232"/>
      <c r="R192" s="231" t="str">
        <f>IFERROR(1-(SUMIF('Grid BD'!$B:$B,$A192,'Grid BD'!$AD:$AD)/($AA192+SUMIF('Grid BD'!$B:$B,$A192,'Grid BD'!AD:AD))),"")</f>
        <v/>
      </c>
      <c r="S192" s="6"/>
      <c r="T192" s="232"/>
      <c r="U192" s="233" t="str">
        <f t="shared" si="13"/>
        <v/>
      </c>
      <c r="V192" s="233"/>
      <c r="W192" s="234" t="str">
        <f t="shared" si="15"/>
        <v/>
      </c>
      <c r="X192" s="227" t="str">
        <f>IFERROR(_xlfn.XLOOKUP($A192,'Raw Data'!$A:$A,'Raw Data'!$BA:$BA),"")</f>
        <v/>
      </c>
      <c r="Y192" s="227" t="str">
        <f>IFERROR(_xlfn.XLOOKUP($A192,'Raw Data'!$A:$A,'Raw Data'!BJ:BJ),"")</f>
        <v/>
      </c>
      <c r="Z192" s="227" t="str">
        <f>IFERROR(_xlfn.XLOOKUP($A192,'Raw Data'!$A:$A,'Raw Data'!BK:BK),"")</f>
        <v/>
      </c>
      <c r="AA192" s="227" t="str">
        <f>IFERROR(_xlfn.XLOOKUP($A192,'Raw Data'!$A:$A,'Raw Data'!BL:BL),"")</f>
        <v/>
      </c>
      <c r="AB192" s="227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27">
        <f>IFERROR(_xlfn.XLOOKUP($D192,'Modelling New'!$D:$D,'Modelling New'!$T:$T)*1000,"")</f>
        <v>108757.04807292875</v>
      </c>
      <c r="AE192" s="234">
        <f>IFERROR(_xlfn.XLOOKUP($D192,'Modelling New'!$D:$D,'Modelling New'!$O:$O),"")</f>
        <v>0.74145302903300359</v>
      </c>
      <c r="AF192" s="234">
        <f>IFERROR(_xlfn.XLOOKUP($D192,'Modelling New'!$D:$D,'Modelling New'!$W:$W),"")</f>
        <v>0.18645949157536959</v>
      </c>
      <c r="AG192" s="234">
        <f>IFERROR(_xlfn.XLOOKUP($D192,'Modelling New'!$D:$D,'Modelling New'!AE:AE),"")</f>
        <v>0.995</v>
      </c>
      <c r="AH192" s="234">
        <v>0.99750000000000005</v>
      </c>
      <c r="AI192" s="6"/>
      <c r="AJ192" s="6"/>
      <c r="AK192" s="6"/>
      <c r="AL192" s="6"/>
      <c r="AM192" s="6"/>
      <c r="AN192" s="231"/>
      <c r="AO192" s="234"/>
      <c r="AP192" s="234"/>
      <c r="AQ192" s="234"/>
      <c r="AR192" s="227">
        <f>IFERROR(_xlfn.XLOOKUP($D192,'Modelling New'!$D:$D,'Modelling New'!$N:$N),"")</f>
        <v>24.303100000000001</v>
      </c>
      <c r="AS192" s="227"/>
    </row>
    <row r="193" spans="1:45" x14ac:dyDescent="0.35">
      <c r="A193" s="226">
        <f t="shared" si="14"/>
        <v>45936</v>
      </c>
      <c r="B193" s="227">
        <f>YEAR(Daily_KPI[[#This Row],[Date]])+IF(MONTH(Daily_KPI[[#This Row],[Date]])&gt;=4,1,0)</f>
        <v>2026</v>
      </c>
      <c r="C193" s="6">
        <f>YEAR(Daily_KPI[[#This Row],[Date]])</f>
        <v>2025</v>
      </c>
      <c r="D193" s="228">
        <f>Daily_KPI[[#This Row],[Date]]-DAY(Daily_KPI[[#This Row],[Date]])+1</f>
        <v>45931</v>
      </c>
      <c r="E193" s="6">
        <f t="shared" si="16"/>
        <v>31</v>
      </c>
      <c r="F193" s="229" t="str">
        <f>IFERROR(_xlfn.XLOOKUP($A193,'Raw Data'!$A:$A,'Raw Data'!$BR:$BR),"")</f>
        <v/>
      </c>
      <c r="G193" s="230" t="str">
        <f>IFERROR(_xlfn.XLOOKUP($A193,'Raw Data'!$A:$A,'Raw Data'!$AO:$AO),"")</f>
        <v/>
      </c>
      <c r="H193" s="230"/>
      <c r="I193" s="230" t="str">
        <f>IFERROR(_xlfn.XLOOKUP($A193,'Raw Data'!$A:$A,'Raw Data'!$AR:$AR),"")</f>
        <v/>
      </c>
      <c r="J193" s="230"/>
      <c r="K193" s="230" t="str">
        <f>IFERROR(_xlfn.XLOOKUP($A193,'Raw Data'!$A:$A,'Raw Data'!$AV:$AV),"")</f>
        <v/>
      </c>
      <c r="L193" s="230" t="str">
        <f>IFERROR(_xlfn.XLOOKUP($A193,'Raw Data'!$A:$A,'Raw Data'!$AW:$AW),"")</f>
        <v/>
      </c>
      <c r="M193" s="230" t="str">
        <f>IFERROR(_xlfn.XLOOKUP($A193,'Raw Data'!$A:$A,'Raw Data'!$AX:$AX),"")</f>
        <v/>
      </c>
      <c r="N193" s="230" t="str">
        <f>IFERROR(_xlfn.XLOOKUP($A193,'Raw Data'!$A:$A,'Raw Data'!$AY:$AY),"")</f>
        <v/>
      </c>
      <c r="O193" s="231" t="str">
        <f>IFERROR(1-(SUMIF('Plant BD'!$B:$B,A193,'Plant BD'!$AE:$AE)/(AA193+SUMIF('Plant BD'!$B:$B,A193,'Plant BD'!$AE:$AE))),"")</f>
        <v/>
      </c>
      <c r="P193" s="231"/>
      <c r="Q193" s="232"/>
      <c r="R193" s="231" t="str">
        <f>IFERROR(1-(SUMIF('Grid BD'!$B:$B,$A193,'Grid BD'!$AD:$AD)/($AA193+SUMIF('Grid BD'!$B:$B,$A193,'Grid BD'!AD:AD))),"")</f>
        <v/>
      </c>
      <c r="S193" s="6"/>
      <c r="T193" s="232"/>
      <c r="U193" s="233" t="str">
        <f t="shared" si="13"/>
        <v/>
      </c>
      <c r="V193" s="233"/>
      <c r="W193" s="234" t="str">
        <f t="shared" si="15"/>
        <v/>
      </c>
      <c r="X193" s="227" t="str">
        <f>IFERROR(_xlfn.XLOOKUP($A193,'Raw Data'!$A:$A,'Raw Data'!$BA:$BA),"")</f>
        <v/>
      </c>
      <c r="Y193" s="227" t="str">
        <f>IFERROR(_xlfn.XLOOKUP($A193,'Raw Data'!$A:$A,'Raw Data'!BJ:BJ),"")</f>
        <v/>
      </c>
      <c r="Z193" s="227" t="str">
        <f>IFERROR(_xlfn.XLOOKUP($A193,'Raw Data'!$A:$A,'Raw Data'!BK:BK),"")</f>
        <v/>
      </c>
      <c r="AA193" s="227" t="str">
        <f>IFERROR(_xlfn.XLOOKUP($A193,'Raw Data'!$A:$A,'Raw Data'!BL:BL),"")</f>
        <v/>
      </c>
      <c r="AB193" s="227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27">
        <f>IFERROR(_xlfn.XLOOKUP($D193,'Modelling New'!$D:$D,'Modelling New'!$T:$T)*1000,"")</f>
        <v>108757.04807292875</v>
      </c>
      <c r="AE193" s="234">
        <f>IFERROR(_xlfn.XLOOKUP($D193,'Modelling New'!$D:$D,'Modelling New'!$O:$O),"")</f>
        <v>0.74145302903300359</v>
      </c>
      <c r="AF193" s="234">
        <f>IFERROR(_xlfn.XLOOKUP($D193,'Modelling New'!$D:$D,'Modelling New'!$W:$W),"")</f>
        <v>0.18645949157536959</v>
      </c>
      <c r="AG193" s="234">
        <f>IFERROR(_xlfn.XLOOKUP($D193,'Modelling New'!$D:$D,'Modelling New'!AE:AE),"")</f>
        <v>0.995</v>
      </c>
      <c r="AH193" s="234">
        <v>0.99750000000000005</v>
      </c>
      <c r="AI193" s="6"/>
      <c r="AJ193" s="6"/>
      <c r="AK193" s="6"/>
      <c r="AL193" s="6"/>
      <c r="AM193" s="6"/>
      <c r="AN193" s="231"/>
      <c r="AO193" s="234"/>
      <c r="AP193" s="234"/>
      <c r="AQ193" s="234"/>
      <c r="AR193" s="227">
        <f>IFERROR(_xlfn.XLOOKUP($D193,'Modelling New'!$D:$D,'Modelling New'!$N:$N),"")</f>
        <v>24.303100000000001</v>
      </c>
      <c r="AS193" s="227"/>
    </row>
    <row r="194" spans="1:45" x14ac:dyDescent="0.35">
      <c r="A194" s="226">
        <f t="shared" si="14"/>
        <v>45937</v>
      </c>
      <c r="B194" s="227">
        <f>YEAR(Daily_KPI[[#This Row],[Date]])+IF(MONTH(Daily_KPI[[#This Row],[Date]])&gt;=4,1,0)</f>
        <v>2026</v>
      </c>
      <c r="C194" s="6">
        <f>YEAR(Daily_KPI[[#This Row],[Date]])</f>
        <v>2025</v>
      </c>
      <c r="D194" s="228">
        <f>Daily_KPI[[#This Row],[Date]]-DAY(Daily_KPI[[#This Row],[Date]])+1</f>
        <v>45931</v>
      </c>
      <c r="E194" s="6">
        <f t="shared" si="16"/>
        <v>31</v>
      </c>
      <c r="F194" s="229" t="str">
        <f>IFERROR(_xlfn.XLOOKUP($A194,'Raw Data'!$A:$A,'Raw Data'!$BR:$BR),"")</f>
        <v/>
      </c>
      <c r="G194" s="230" t="str">
        <f>IFERROR(_xlfn.XLOOKUP($A194,'Raw Data'!$A:$A,'Raw Data'!$AO:$AO),"")</f>
        <v/>
      </c>
      <c r="H194" s="230"/>
      <c r="I194" s="230" t="str">
        <f>IFERROR(_xlfn.XLOOKUP($A194,'Raw Data'!$A:$A,'Raw Data'!$AR:$AR),"")</f>
        <v/>
      </c>
      <c r="J194" s="230"/>
      <c r="K194" s="230" t="str">
        <f>IFERROR(_xlfn.XLOOKUP($A194,'Raw Data'!$A:$A,'Raw Data'!$AV:$AV),"")</f>
        <v/>
      </c>
      <c r="L194" s="230" t="str">
        <f>IFERROR(_xlfn.XLOOKUP($A194,'Raw Data'!$A:$A,'Raw Data'!$AW:$AW),"")</f>
        <v/>
      </c>
      <c r="M194" s="230" t="str">
        <f>IFERROR(_xlfn.XLOOKUP($A194,'Raw Data'!$A:$A,'Raw Data'!$AX:$AX),"")</f>
        <v/>
      </c>
      <c r="N194" s="230" t="str">
        <f>IFERROR(_xlfn.XLOOKUP($A194,'Raw Data'!$A:$A,'Raw Data'!$AY:$AY),"")</f>
        <v/>
      </c>
      <c r="O194" s="231" t="str">
        <f>IFERROR(1-(SUMIF('Plant BD'!$B:$B,A194,'Plant BD'!$AE:$AE)/(AA194+SUMIF('Plant BD'!$B:$B,A194,'Plant BD'!$AE:$AE))),"")</f>
        <v/>
      </c>
      <c r="P194" s="231"/>
      <c r="Q194" s="232"/>
      <c r="R194" s="231" t="str">
        <f>IFERROR(1-(SUMIF('Grid BD'!$B:$B,$A194,'Grid BD'!$AD:$AD)/($AA194+SUMIF('Grid BD'!$B:$B,$A194,'Grid BD'!AD:AD))),"")</f>
        <v/>
      </c>
      <c r="S194" s="6"/>
      <c r="T194" s="232"/>
      <c r="U194" s="233" t="str">
        <f t="shared" si="13"/>
        <v/>
      </c>
      <c r="V194" s="233"/>
      <c r="W194" s="234" t="str">
        <f t="shared" si="15"/>
        <v/>
      </c>
      <c r="X194" s="227" t="str">
        <f>IFERROR(_xlfn.XLOOKUP($A194,'Raw Data'!$A:$A,'Raw Data'!$BA:$BA),"")</f>
        <v/>
      </c>
      <c r="Y194" s="227" t="str">
        <f>IFERROR(_xlfn.XLOOKUP($A194,'Raw Data'!$A:$A,'Raw Data'!BJ:BJ),"")</f>
        <v/>
      </c>
      <c r="Z194" s="227" t="str">
        <f>IFERROR(_xlfn.XLOOKUP($A194,'Raw Data'!$A:$A,'Raw Data'!BK:BK),"")</f>
        <v/>
      </c>
      <c r="AA194" s="227" t="str">
        <f>IFERROR(_xlfn.XLOOKUP($A194,'Raw Data'!$A:$A,'Raw Data'!BL:BL),"")</f>
        <v/>
      </c>
      <c r="AB194" s="227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27">
        <f>IFERROR(_xlfn.XLOOKUP($D194,'Modelling New'!$D:$D,'Modelling New'!$T:$T)*1000,"")</f>
        <v>108757.04807292875</v>
      </c>
      <c r="AE194" s="234">
        <f>IFERROR(_xlfn.XLOOKUP($D194,'Modelling New'!$D:$D,'Modelling New'!$O:$O),"")</f>
        <v>0.74145302903300359</v>
      </c>
      <c r="AF194" s="234">
        <f>IFERROR(_xlfn.XLOOKUP($D194,'Modelling New'!$D:$D,'Modelling New'!$W:$W),"")</f>
        <v>0.18645949157536959</v>
      </c>
      <c r="AG194" s="234">
        <f>IFERROR(_xlfn.XLOOKUP($D194,'Modelling New'!$D:$D,'Modelling New'!AE:AE),"")</f>
        <v>0.995</v>
      </c>
      <c r="AH194" s="234">
        <v>0.99750000000000005</v>
      </c>
      <c r="AI194" s="6"/>
      <c r="AJ194" s="6"/>
      <c r="AK194" s="6"/>
      <c r="AL194" s="6"/>
      <c r="AM194" s="6"/>
      <c r="AN194" s="231"/>
      <c r="AO194" s="234"/>
      <c r="AP194" s="234"/>
      <c r="AQ194" s="234"/>
      <c r="AR194" s="227">
        <f>IFERROR(_xlfn.XLOOKUP($D194,'Modelling New'!$D:$D,'Modelling New'!$N:$N),"")</f>
        <v>24.303100000000001</v>
      </c>
      <c r="AS194" s="227"/>
    </row>
    <row r="195" spans="1:45" x14ac:dyDescent="0.35">
      <c r="A195" s="226">
        <f t="shared" si="14"/>
        <v>45938</v>
      </c>
      <c r="B195" s="227">
        <f>YEAR(Daily_KPI[[#This Row],[Date]])+IF(MONTH(Daily_KPI[[#This Row],[Date]])&gt;=4,1,0)</f>
        <v>2026</v>
      </c>
      <c r="C195" s="6">
        <f>YEAR(Daily_KPI[[#This Row],[Date]])</f>
        <v>2025</v>
      </c>
      <c r="D195" s="228">
        <f>Daily_KPI[[#This Row],[Date]]-DAY(Daily_KPI[[#This Row],[Date]])+1</f>
        <v>45931</v>
      </c>
      <c r="E195" s="6">
        <f t="shared" si="16"/>
        <v>31</v>
      </c>
      <c r="F195" s="229" t="str">
        <f>IFERROR(_xlfn.XLOOKUP($A195,'Raw Data'!$A:$A,'Raw Data'!$BR:$BR),"")</f>
        <v/>
      </c>
      <c r="G195" s="230" t="str">
        <f>IFERROR(_xlfn.XLOOKUP($A195,'Raw Data'!$A:$A,'Raw Data'!$AO:$AO),"")</f>
        <v/>
      </c>
      <c r="H195" s="230"/>
      <c r="I195" s="230" t="str">
        <f>IFERROR(_xlfn.XLOOKUP($A195,'Raw Data'!$A:$A,'Raw Data'!$AR:$AR),"")</f>
        <v/>
      </c>
      <c r="J195" s="230"/>
      <c r="K195" s="230" t="str">
        <f>IFERROR(_xlfn.XLOOKUP($A195,'Raw Data'!$A:$A,'Raw Data'!$AV:$AV),"")</f>
        <v/>
      </c>
      <c r="L195" s="230" t="str">
        <f>IFERROR(_xlfn.XLOOKUP($A195,'Raw Data'!$A:$A,'Raw Data'!$AW:$AW),"")</f>
        <v/>
      </c>
      <c r="M195" s="230" t="str">
        <f>IFERROR(_xlfn.XLOOKUP($A195,'Raw Data'!$A:$A,'Raw Data'!$AX:$AX),"")</f>
        <v/>
      </c>
      <c r="N195" s="230" t="str">
        <f>IFERROR(_xlfn.XLOOKUP($A195,'Raw Data'!$A:$A,'Raw Data'!$AY:$AY),"")</f>
        <v/>
      </c>
      <c r="O195" s="231" t="str">
        <f>IFERROR(1-(SUMIF('Plant BD'!$B:$B,A195,'Plant BD'!$AE:$AE)/(AA195+SUMIF('Plant BD'!$B:$B,A195,'Plant BD'!$AE:$AE))),"")</f>
        <v/>
      </c>
      <c r="P195" s="231"/>
      <c r="Q195" s="232"/>
      <c r="R195" s="231" t="str">
        <f>IFERROR(1-(SUMIF('Grid BD'!$B:$B,$A195,'Grid BD'!$AD:$AD)/($AA195+SUMIF('Grid BD'!$B:$B,$A195,'Grid BD'!AD:AD))),"")</f>
        <v/>
      </c>
      <c r="S195" s="6"/>
      <c r="T195" s="232"/>
      <c r="U195" s="233" t="str">
        <f t="shared" si="13"/>
        <v/>
      </c>
      <c r="V195" s="233"/>
      <c r="W195" s="234" t="str">
        <f t="shared" si="15"/>
        <v/>
      </c>
      <c r="X195" s="227" t="str">
        <f>IFERROR(_xlfn.XLOOKUP($A195,'Raw Data'!$A:$A,'Raw Data'!$BA:$BA),"")</f>
        <v/>
      </c>
      <c r="Y195" s="227" t="str">
        <f>IFERROR(_xlfn.XLOOKUP($A195,'Raw Data'!$A:$A,'Raw Data'!BJ:BJ),"")</f>
        <v/>
      </c>
      <c r="Z195" s="227" t="str">
        <f>IFERROR(_xlfn.XLOOKUP($A195,'Raw Data'!$A:$A,'Raw Data'!BK:BK),"")</f>
        <v/>
      </c>
      <c r="AA195" s="227" t="str">
        <f>IFERROR(_xlfn.XLOOKUP($A195,'Raw Data'!$A:$A,'Raw Data'!BL:BL),"")</f>
        <v/>
      </c>
      <c r="AB195" s="227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27">
        <f>IFERROR(_xlfn.XLOOKUP($D195,'Modelling New'!$D:$D,'Modelling New'!$T:$T)*1000,"")</f>
        <v>108757.04807292875</v>
      </c>
      <c r="AE195" s="234">
        <f>IFERROR(_xlfn.XLOOKUP($D195,'Modelling New'!$D:$D,'Modelling New'!$O:$O),"")</f>
        <v>0.74145302903300359</v>
      </c>
      <c r="AF195" s="234">
        <f>IFERROR(_xlfn.XLOOKUP($D195,'Modelling New'!$D:$D,'Modelling New'!$W:$W),"")</f>
        <v>0.18645949157536959</v>
      </c>
      <c r="AG195" s="234">
        <f>IFERROR(_xlfn.XLOOKUP($D195,'Modelling New'!$D:$D,'Modelling New'!AE:AE),"")</f>
        <v>0.995</v>
      </c>
      <c r="AH195" s="234">
        <v>0.99750000000000005</v>
      </c>
      <c r="AI195" s="6"/>
      <c r="AJ195" s="6"/>
      <c r="AK195" s="6"/>
      <c r="AL195" s="6"/>
      <c r="AM195" s="6"/>
      <c r="AN195" s="231"/>
      <c r="AO195" s="234"/>
      <c r="AP195" s="234"/>
      <c r="AQ195" s="234"/>
      <c r="AR195" s="227">
        <f>IFERROR(_xlfn.XLOOKUP($D195,'Modelling New'!$D:$D,'Modelling New'!$N:$N),"")</f>
        <v>24.303100000000001</v>
      </c>
      <c r="AS195" s="227"/>
    </row>
    <row r="196" spans="1:45" x14ac:dyDescent="0.35">
      <c r="A196" s="226">
        <f t="shared" si="14"/>
        <v>45939</v>
      </c>
      <c r="B196" s="227">
        <f>YEAR(Daily_KPI[[#This Row],[Date]])+IF(MONTH(Daily_KPI[[#This Row],[Date]])&gt;=4,1,0)</f>
        <v>2026</v>
      </c>
      <c r="C196" s="6">
        <f>YEAR(Daily_KPI[[#This Row],[Date]])</f>
        <v>2025</v>
      </c>
      <c r="D196" s="228">
        <f>Daily_KPI[[#This Row],[Date]]-DAY(Daily_KPI[[#This Row],[Date]])+1</f>
        <v>45931</v>
      </c>
      <c r="E196" s="6">
        <f t="shared" si="16"/>
        <v>31</v>
      </c>
      <c r="F196" s="229" t="str">
        <f>IFERROR(_xlfn.XLOOKUP($A196,'Raw Data'!$A:$A,'Raw Data'!$BR:$BR),"")</f>
        <v/>
      </c>
      <c r="G196" s="230" t="str">
        <f>IFERROR(_xlfn.XLOOKUP($A196,'Raw Data'!$A:$A,'Raw Data'!$AO:$AO),"")</f>
        <v/>
      </c>
      <c r="H196" s="230"/>
      <c r="I196" s="230" t="str">
        <f>IFERROR(_xlfn.XLOOKUP($A196,'Raw Data'!$A:$A,'Raw Data'!$AR:$AR),"")</f>
        <v/>
      </c>
      <c r="J196" s="230"/>
      <c r="K196" s="230" t="str">
        <f>IFERROR(_xlfn.XLOOKUP($A196,'Raw Data'!$A:$A,'Raw Data'!$AV:$AV),"")</f>
        <v/>
      </c>
      <c r="L196" s="230" t="str">
        <f>IFERROR(_xlfn.XLOOKUP($A196,'Raw Data'!$A:$A,'Raw Data'!$AW:$AW),"")</f>
        <v/>
      </c>
      <c r="M196" s="230" t="str">
        <f>IFERROR(_xlfn.XLOOKUP($A196,'Raw Data'!$A:$A,'Raw Data'!$AX:$AX),"")</f>
        <v/>
      </c>
      <c r="N196" s="230" t="str">
        <f>IFERROR(_xlfn.XLOOKUP($A196,'Raw Data'!$A:$A,'Raw Data'!$AY:$AY),"")</f>
        <v/>
      </c>
      <c r="O196" s="231" t="str">
        <f>IFERROR(1-(SUMIF('Plant BD'!$B:$B,A196,'Plant BD'!$AE:$AE)/(AA196+SUMIF('Plant BD'!$B:$B,A196,'Plant BD'!$AE:$AE))),"")</f>
        <v/>
      </c>
      <c r="P196" s="231"/>
      <c r="Q196" s="232"/>
      <c r="R196" s="231" t="str">
        <f>IFERROR(1-(SUMIF('Grid BD'!$B:$B,$A196,'Grid BD'!$AD:$AD)/($AA196+SUMIF('Grid BD'!$B:$B,$A196,'Grid BD'!AD:AD))),"")</f>
        <v/>
      </c>
      <c r="S196" s="6"/>
      <c r="T196" s="232"/>
      <c r="U196" s="233" t="str">
        <f t="shared" si="13"/>
        <v/>
      </c>
      <c r="V196" s="233"/>
      <c r="W196" s="234" t="str">
        <f t="shared" si="15"/>
        <v/>
      </c>
      <c r="X196" s="227" t="str">
        <f>IFERROR(_xlfn.XLOOKUP($A196,'Raw Data'!$A:$A,'Raw Data'!$BA:$BA),"")</f>
        <v/>
      </c>
      <c r="Y196" s="227" t="str">
        <f>IFERROR(_xlfn.XLOOKUP($A196,'Raw Data'!$A:$A,'Raw Data'!BJ:BJ),"")</f>
        <v/>
      </c>
      <c r="Z196" s="227" t="str">
        <f>IFERROR(_xlfn.XLOOKUP($A196,'Raw Data'!$A:$A,'Raw Data'!BK:BK),"")</f>
        <v/>
      </c>
      <c r="AA196" s="227" t="str">
        <f>IFERROR(_xlfn.XLOOKUP($A196,'Raw Data'!$A:$A,'Raw Data'!BL:BL),"")</f>
        <v/>
      </c>
      <c r="AB196" s="227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27">
        <f>IFERROR(_xlfn.XLOOKUP($D196,'Modelling New'!$D:$D,'Modelling New'!$T:$T)*1000,"")</f>
        <v>108757.04807292875</v>
      </c>
      <c r="AE196" s="234">
        <f>IFERROR(_xlfn.XLOOKUP($D196,'Modelling New'!$D:$D,'Modelling New'!$O:$O),"")</f>
        <v>0.74145302903300359</v>
      </c>
      <c r="AF196" s="234">
        <f>IFERROR(_xlfn.XLOOKUP($D196,'Modelling New'!$D:$D,'Modelling New'!$W:$W),"")</f>
        <v>0.18645949157536959</v>
      </c>
      <c r="AG196" s="234">
        <f>IFERROR(_xlfn.XLOOKUP($D196,'Modelling New'!$D:$D,'Modelling New'!AE:AE),"")</f>
        <v>0.995</v>
      </c>
      <c r="AH196" s="234">
        <v>0.99750000000000005</v>
      </c>
      <c r="AI196" s="6"/>
      <c r="AJ196" s="6"/>
      <c r="AK196" s="6"/>
      <c r="AL196" s="6"/>
      <c r="AM196" s="6"/>
      <c r="AN196" s="231"/>
      <c r="AO196" s="234"/>
      <c r="AP196" s="234"/>
      <c r="AQ196" s="234"/>
      <c r="AR196" s="227">
        <f>IFERROR(_xlfn.XLOOKUP($D196,'Modelling New'!$D:$D,'Modelling New'!$N:$N),"")</f>
        <v>24.303100000000001</v>
      </c>
      <c r="AS196" s="227"/>
    </row>
    <row r="197" spans="1:45" x14ac:dyDescent="0.35">
      <c r="A197" s="226">
        <f t="shared" si="14"/>
        <v>45940</v>
      </c>
      <c r="B197" s="227">
        <f>YEAR(Daily_KPI[[#This Row],[Date]])+IF(MONTH(Daily_KPI[[#This Row],[Date]])&gt;=4,1,0)</f>
        <v>2026</v>
      </c>
      <c r="C197" s="6">
        <f>YEAR(Daily_KPI[[#This Row],[Date]])</f>
        <v>2025</v>
      </c>
      <c r="D197" s="228">
        <f>Daily_KPI[[#This Row],[Date]]-DAY(Daily_KPI[[#This Row],[Date]])+1</f>
        <v>45931</v>
      </c>
      <c r="E197" s="6">
        <f t="shared" si="16"/>
        <v>31</v>
      </c>
      <c r="F197" s="229" t="str">
        <f>IFERROR(_xlfn.XLOOKUP($A197,'Raw Data'!$A:$A,'Raw Data'!$BR:$BR),"")</f>
        <v/>
      </c>
      <c r="G197" s="230" t="str">
        <f>IFERROR(_xlfn.XLOOKUP($A197,'Raw Data'!$A:$A,'Raw Data'!$AO:$AO),"")</f>
        <v/>
      </c>
      <c r="H197" s="230"/>
      <c r="I197" s="230" t="str">
        <f>IFERROR(_xlfn.XLOOKUP($A197,'Raw Data'!$A:$A,'Raw Data'!$AR:$AR),"")</f>
        <v/>
      </c>
      <c r="J197" s="230"/>
      <c r="K197" s="230" t="str">
        <f>IFERROR(_xlfn.XLOOKUP($A197,'Raw Data'!$A:$A,'Raw Data'!$AV:$AV),"")</f>
        <v/>
      </c>
      <c r="L197" s="230" t="str">
        <f>IFERROR(_xlfn.XLOOKUP($A197,'Raw Data'!$A:$A,'Raw Data'!$AW:$AW),"")</f>
        <v/>
      </c>
      <c r="M197" s="230" t="str">
        <f>IFERROR(_xlfn.XLOOKUP($A197,'Raw Data'!$A:$A,'Raw Data'!$AX:$AX),"")</f>
        <v/>
      </c>
      <c r="N197" s="230" t="str">
        <f>IFERROR(_xlfn.XLOOKUP($A197,'Raw Data'!$A:$A,'Raw Data'!$AY:$AY),"")</f>
        <v/>
      </c>
      <c r="O197" s="231" t="str">
        <f>IFERROR(1-(SUMIF('Plant BD'!$B:$B,A197,'Plant BD'!$AE:$AE)/(AA197+SUMIF('Plant BD'!$B:$B,A197,'Plant BD'!$AE:$AE))),"")</f>
        <v/>
      </c>
      <c r="P197" s="231"/>
      <c r="Q197" s="232"/>
      <c r="R197" s="231" t="str">
        <f>IFERROR(1-(SUMIF('Grid BD'!$B:$B,$A197,'Grid BD'!$AD:$AD)/($AA197+SUMIF('Grid BD'!$B:$B,$A197,'Grid BD'!AD:AD))),"")</f>
        <v/>
      </c>
      <c r="S197" s="6"/>
      <c r="T197" s="232"/>
      <c r="U197" s="233" t="str">
        <f t="shared" si="13"/>
        <v/>
      </c>
      <c r="V197" s="233"/>
      <c r="W197" s="234" t="str">
        <f t="shared" si="15"/>
        <v/>
      </c>
      <c r="X197" s="227" t="str">
        <f>IFERROR(_xlfn.XLOOKUP($A197,'Raw Data'!$A:$A,'Raw Data'!$BA:$BA),"")</f>
        <v/>
      </c>
      <c r="Y197" s="227" t="str">
        <f>IFERROR(_xlfn.XLOOKUP($A197,'Raw Data'!$A:$A,'Raw Data'!BJ:BJ),"")</f>
        <v/>
      </c>
      <c r="Z197" s="227" t="str">
        <f>IFERROR(_xlfn.XLOOKUP($A197,'Raw Data'!$A:$A,'Raw Data'!BK:BK),"")</f>
        <v/>
      </c>
      <c r="AA197" s="227" t="str">
        <f>IFERROR(_xlfn.XLOOKUP($A197,'Raw Data'!$A:$A,'Raw Data'!BL:BL),"")</f>
        <v/>
      </c>
      <c r="AB197" s="227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27">
        <f>IFERROR(_xlfn.XLOOKUP($D197,'Modelling New'!$D:$D,'Modelling New'!$T:$T)*1000,"")</f>
        <v>108757.04807292875</v>
      </c>
      <c r="AE197" s="234">
        <f>IFERROR(_xlfn.XLOOKUP($D197,'Modelling New'!$D:$D,'Modelling New'!$O:$O),"")</f>
        <v>0.74145302903300359</v>
      </c>
      <c r="AF197" s="234">
        <f>IFERROR(_xlfn.XLOOKUP($D197,'Modelling New'!$D:$D,'Modelling New'!$W:$W),"")</f>
        <v>0.18645949157536959</v>
      </c>
      <c r="AG197" s="234">
        <f>IFERROR(_xlfn.XLOOKUP($D197,'Modelling New'!$D:$D,'Modelling New'!AE:AE),"")</f>
        <v>0.995</v>
      </c>
      <c r="AH197" s="234">
        <v>0.99750000000000005</v>
      </c>
      <c r="AI197" s="6"/>
      <c r="AJ197" s="6"/>
      <c r="AK197" s="6"/>
      <c r="AL197" s="6"/>
      <c r="AM197" s="6"/>
      <c r="AN197" s="231"/>
      <c r="AO197" s="234"/>
      <c r="AP197" s="234"/>
      <c r="AQ197" s="234"/>
      <c r="AR197" s="227">
        <f>IFERROR(_xlfn.XLOOKUP($D197,'Modelling New'!$D:$D,'Modelling New'!$N:$N),"")</f>
        <v>24.303100000000001</v>
      </c>
      <c r="AS197" s="227"/>
    </row>
    <row r="198" spans="1:45" x14ac:dyDescent="0.35">
      <c r="A198" s="226">
        <f t="shared" si="14"/>
        <v>45941</v>
      </c>
      <c r="B198" s="227">
        <f>YEAR(Daily_KPI[[#This Row],[Date]])+IF(MONTH(Daily_KPI[[#This Row],[Date]])&gt;=4,1,0)</f>
        <v>2026</v>
      </c>
      <c r="C198" s="6">
        <f>YEAR(Daily_KPI[[#This Row],[Date]])</f>
        <v>2025</v>
      </c>
      <c r="D198" s="228">
        <f>Daily_KPI[[#This Row],[Date]]-DAY(Daily_KPI[[#This Row],[Date]])+1</f>
        <v>45931</v>
      </c>
      <c r="E198" s="6">
        <f t="shared" si="16"/>
        <v>31</v>
      </c>
      <c r="F198" s="229" t="str">
        <f>IFERROR(_xlfn.XLOOKUP($A198,'Raw Data'!$A:$A,'Raw Data'!$BR:$BR),"")</f>
        <v/>
      </c>
      <c r="G198" s="230" t="str">
        <f>IFERROR(_xlfn.XLOOKUP($A198,'Raw Data'!$A:$A,'Raw Data'!$AO:$AO),"")</f>
        <v/>
      </c>
      <c r="H198" s="230"/>
      <c r="I198" s="230" t="str">
        <f>IFERROR(_xlfn.XLOOKUP($A198,'Raw Data'!$A:$A,'Raw Data'!$AR:$AR),"")</f>
        <v/>
      </c>
      <c r="J198" s="230"/>
      <c r="K198" s="230" t="str">
        <f>IFERROR(_xlfn.XLOOKUP($A198,'Raw Data'!$A:$A,'Raw Data'!$AV:$AV),"")</f>
        <v/>
      </c>
      <c r="L198" s="230" t="str">
        <f>IFERROR(_xlfn.XLOOKUP($A198,'Raw Data'!$A:$A,'Raw Data'!$AW:$AW),"")</f>
        <v/>
      </c>
      <c r="M198" s="230" t="str">
        <f>IFERROR(_xlfn.XLOOKUP($A198,'Raw Data'!$A:$A,'Raw Data'!$AX:$AX),"")</f>
        <v/>
      </c>
      <c r="N198" s="230" t="str">
        <f>IFERROR(_xlfn.XLOOKUP($A198,'Raw Data'!$A:$A,'Raw Data'!$AY:$AY),"")</f>
        <v/>
      </c>
      <c r="O198" s="231" t="str">
        <f>IFERROR(1-(SUMIF('Plant BD'!$B:$B,A198,'Plant BD'!$AE:$AE)/(AA198+SUMIF('Plant BD'!$B:$B,A198,'Plant BD'!$AE:$AE))),"")</f>
        <v/>
      </c>
      <c r="P198" s="231"/>
      <c r="Q198" s="232"/>
      <c r="R198" s="231" t="str">
        <f>IFERROR(1-(SUMIF('Grid BD'!$B:$B,$A198,'Grid BD'!$AD:$AD)/($AA198+SUMIF('Grid BD'!$B:$B,$A198,'Grid BD'!AD:AD))),"")</f>
        <v/>
      </c>
      <c r="S198" s="6"/>
      <c r="T198" s="232"/>
      <c r="U198" s="233" t="str">
        <f t="shared" si="13"/>
        <v/>
      </c>
      <c r="V198" s="233"/>
      <c r="W198" s="234" t="str">
        <f t="shared" si="15"/>
        <v/>
      </c>
      <c r="X198" s="227" t="str">
        <f>IFERROR(_xlfn.XLOOKUP($A198,'Raw Data'!$A:$A,'Raw Data'!$BA:$BA),"")</f>
        <v/>
      </c>
      <c r="Y198" s="227" t="str">
        <f>IFERROR(_xlfn.XLOOKUP($A198,'Raw Data'!$A:$A,'Raw Data'!BJ:BJ),"")</f>
        <v/>
      </c>
      <c r="Z198" s="227" t="str">
        <f>IFERROR(_xlfn.XLOOKUP($A198,'Raw Data'!$A:$A,'Raw Data'!BK:BK),"")</f>
        <v/>
      </c>
      <c r="AA198" s="227" t="str">
        <f>IFERROR(_xlfn.XLOOKUP($A198,'Raw Data'!$A:$A,'Raw Data'!BL:BL),"")</f>
        <v/>
      </c>
      <c r="AB198" s="227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27">
        <f>IFERROR(_xlfn.XLOOKUP($D198,'Modelling New'!$D:$D,'Modelling New'!$T:$T)*1000,"")</f>
        <v>108757.04807292875</v>
      </c>
      <c r="AE198" s="234">
        <f>IFERROR(_xlfn.XLOOKUP($D198,'Modelling New'!$D:$D,'Modelling New'!$O:$O),"")</f>
        <v>0.74145302903300359</v>
      </c>
      <c r="AF198" s="234">
        <f>IFERROR(_xlfn.XLOOKUP($D198,'Modelling New'!$D:$D,'Modelling New'!$W:$W),"")</f>
        <v>0.18645949157536959</v>
      </c>
      <c r="AG198" s="234">
        <f>IFERROR(_xlfn.XLOOKUP($D198,'Modelling New'!$D:$D,'Modelling New'!AE:AE),"")</f>
        <v>0.995</v>
      </c>
      <c r="AH198" s="234">
        <v>0.99750000000000005</v>
      </c>
      <c r="AI198" s="6"/>
      <c r="AJ198" s="6"/>
      <c r="AK198" s="6"/>
      <c r="AL198" s="6"/>
      <c r="AM198" s="6"/>
      <c r="AN198" s="231"/>
      <c r="AO198" s="234"/>
      <c r="AP198" s="234"/>
      <c r="AQ198" s="234"/>
      <c r="AR198" s="227">
        <f>IFERROR(_xlfn.XLOOKUP($D198,'Modelling New'!$D:$D,'Modelling New'!$N:$N),"")</f>
        <v>24.303100000000001</v>
      </c>
      <c r="AS198" s="227"/>
    </row>
    <row r="199" spans="1:45" x14ac:dyDescent="0.35">
      <c r="A199" s="226">
        <f t="shared" si="14"/>
        <v>45942</v>
      </c>
      <c r="B199" s="227">
        <f>YEAR(Daily_KPI[[#This Row],[Date]])+IF(MONTH(Daily_KPI[[#This Row],[Date]])&gt;=4,1,0)</f>
        <v>2026</v>
      </c>
      <c r="C199" s="6">
        <f>YEAR(Daily_KPI[[#This Row],[Date]])</f>
        <v>2025</v>
      </c>
      <c r="D199" s="228">
        <f>Daily_KPI[[#This Row],[Date]]-DAY(Daily_KPI[[#This Row],[Date]])+1</f>
        <v>45931</v>
      </c>
      <c r="E199" s="6">
        <f t="shared" si="16"/>
        <v>31</v>
      </c>
      <c r="F199" s="229" t="str">
        <f>IFERROR(_xlfn.XLOOKUP($A199,'Raw Data'!$A:$A,'Raw Data'!$BR:$BR),"")</f>
        <v/>
      </c>
      <c r="G199" s="230" t="str">
        <f>IFERROR(_xlfn.XLOOKUP($A199,'Raw Data'!$A:$A,'Raw Data'!$AO:$AO),"")</f>
        <v/>
      </c>
      <c r="H199" s="230"/>
      <c r="I199" s="230" t="str">
        <f>IFERROR(_xlfn.XLOOKUP($A199,'Raw Data'!$A:$A,'Raw Data'!$AR:$AR),"")</f>
        <v/>
      </c>
      <c r="J199" s="230"/>
      <c r="K199" s="230" t="str">
        <f>IFERROR(_xlfn.XLOOKUP($A199,'Raw Data'!$A:$A,'Raw Data'!$AV:$AV),"")</f>
        <v/>
      </c>
      <c r="L199" s="230" t="str">
        <f>IFERROR(_xlfn.XLOOKUP($A199,'Raw Data'!$A:$A,'Raw Data'!$AW:$AW),"")</f>
        <v/>
      </c>
      <c r="M199" s="230" t="str">
        <f>IFERROR(_xlfn.XLOOKUP($A199,'Raw Data'!$A:$A,'Raw Data'!$AX:$AX),"")</f>
        <v/>
      </c>
      <c r="N199" s="230" t="str">
        <f>IFERROR(_xlfn.XLOOKUP($A199,'Raw Data'!$A:$A,'Raw Data'!$AY:$AY),"")</f>
        <v/>
      </c>
      <c r="O199" s="231" t="str">
        <f>IFERROR(1-(SUMIF('Plant BD'!$B:$B,A199,'Plant BD'!$AE:$AE)/(AA199+SUMIF('Plant BD'!$B:$B,A199,'Plant BD'!$AE:$AE))),"")</f>
        <v/>
      </c>
      <c r="P199" s="231"/>
      <c r="Q199" s="232"/>
      <c r="R199" s="231" t="str">
        <f>IFERROR(1-(SUMIF('Grid BD'!$B:$B,$A199,'Grid BD'!$AD:$AD)/($AA199+SUMIF('Grid BD'!$B:$B,$A199,'Grid BD'!AD:AD))),"")</f>
        <v/>
      </c>
      <c r="S199" s="6"/>
      <c r="T199" s="232"/>
      <c r="U199" s="233" t="str">
        <f t="shared" si="13"/>
        <v/>
      </c>
      <c r="V199" s="233"/>
      <c r="W199" s="234" t="str">
        <f t="shared" si="15"/>
        <v/>
      </c>
      <c r="X199" s="227" t="str">
        <f>IFERROR(_xlfn.XLOOKUP($A199,'Raw Data'!$A:$A,'Raw Data'!$BA:$BA),"")</f>
        <v/>
      </c>
      <c r="Y199" s="227" t="str">
        <f>IFERROR(_xlfn.XLOOKUP($A199,'Raw Data'!$A:$A,'Raw Data'!BJ:BJ),"")</f>
        <v/>
      </c>
      <c r="Z199" s="227" t="str">
        <f>IFERROR(_xlfn.XLOOKUP($A199,'Raw Data'!$A:$A,'Raw Data'!BK:BK),"")</f>
        <v/>
      </c>
      <c r="AA199" s="227" t="str">
        <f>IFERROR(_xlfn.XLOOKUP($A199,'Raw Data'!$A:$A,'Raw Data'!BL:BL),"")</f>
        <v/>
      </c>
      <c r="AB199" s="227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27">
        <f>IFERROR(_xlfn.XLOOKUP($D199,'Modelling New'!$D:$D,'Modelling New'!$T:$T)*1000,"")</f>
        <v>108757.04807292875</v>
      </c>
      <c r="AE199" s="234">
        <f>IFERROR(_xlfn.XLOOKUP($D199,'Modelling New'!$D:$D,'Modelling New'!$O:$O),"")</f>
        <v>0.74145302903300359</v>
      </c>
      <c r="AF199" s="234">
        <f>IFERROR(_xlfn.XLOOKUP($D199,'Modelling New'!$D:$D,'Modelling New'!$W:$W),"")</f>
        <v>0.18645949157536959</v>
      </c>
      <c r="AG199" s="234">
        <f>IFERROR(_xlfn.XLOOKUP($D199,'Modelling New'!$D:$D,'Modelling New'!AE:AE),"")</f>
        <v>0.995</v>
      </c>
      <c r="AH199" s="234">
        <v>0.99750000000000005</v>
      </c>
      <c r="AI199" s="6"/>
      <c r="AJ199" s="6"/>
      <c r="AK199" s="6"/>
      <c r="AL199" s="6"/>
      <c r="AM199" s="6"/>
      <c r="AN199" s="231"/>
      <c r="AO199" s="234"/>
      <c r="AP199" s="234"/>
      <c r="AQ199" s="234"/>
      <c r="AR199" s="227">
        <f>IFERROR(_xlfn.XLOOKUP($D199,'Modelling New'!$D:$D,'Modelling New'!$N:$N),"")</f>
        <v>24.303100000000001</v>
      </c>
      <c r="AS199" s="227"/>
    </row>
    <row r="200" spans="1:45" x14ac:dyDescent="0.35">
      <c r="A200" s="226">
        <f t="shared" si="14"/>
        <v>45943</v>
      </c>
      <c r="B200" s="227">
        <f>YEAR(Daily_KPI[[#This Row],[Date]])+IF(MONTH(Daily_KPI[[#This Row],[Date]])&gt;=4,1,0)</f>
        <v>2026</v>
      </c>
      <c r="C200" s="6">
        <f>YEAR(Daily_KPI[[#This Row],[Date]])</f>
        <v>2025</v>
      </c>
      <c r="D200" s="228">
        <f>Daily_KPI[[#This Row],[Date]]-DAY(Daily_KPI[[#This Row],[Date]])+1</f>
        <v>45931</v>
      </c>
      <c r="E200" s="6">
        <f t="shared" si="16"/>
        <v>31</v>
      </c>
      <c r="F200" s="229" t="str">
        <f>IFERROR(_xlfn.XLOOKUP($A200,'Raw Data'!$A:$A,'Raw Data'!$BR:$BR),"")</f>
        <v/>
      </c>
      <c r="G200" s="230" t="str">
        <f>IFERROR(_xlfn.XLOOKUP($A200,'Raw Data'!$A:$A,'Raw Data'!$AO:$AO),"")</f>
        <v/>
      </c>
      <c r="H200" s="230"/>
      <c r="I200" s="230" t="str">
        <f>IFERROR(_xlfn.XLOOKUP($A200,'Raw Data'!$A:$A,'Raw Data'!$AR:$AR),"")</f>
        <v/>
      </c>
      <c r="J200" s="230"/>
      <c r="K200" s="230" t="str">
        <f>IFERROR(_xlfn.XLOOKUP($A200,'Raw Data'!$A:$A,'Raw Data'!$AV:$AV),"")</f>
        <v/>
      </c>
      <c r="L200" s="230" t="str">
        <f>IFERROR(_xlfn.XLOOKUP($A200,'Raw Data'!$A:$A,'Raw Data'!$AW:$AW),"")</f>
        <v/>
      </c>
      <c r="M200" s="230" t="str">
        <f>IFERROR(_xlfn.XLOOKUP($A200,'Raw Data'!$A:$A,'Raw Data'!$AX:$AX),"")</f>
        <v/>
      </c>
      <c r="N200" s="230" t="str">
        <f>IFERROR(_xlfn.XLOOKUP($A200,'Raw Data'!$A:$A,'Raw Data'!$AY:$AY),"")</f>
        <v/>
      </c>
      <c r="O200" s="231" t="str">
        <f>IFERROR(1-(SUMIF('Plant BD'!$B:$B,A200,'Plant BD'!$AE:$AE)/(AA200+SUMIF('Plant BD'!$B:$B,A200,'Plant BD'!$AE:$AE))),"")</f>
        <v/>
      </c>
      <c r="P200" s="231"/>
      <c r="Q200" s="232"/>
      <c r="R200" s="231" t="str">
        <f>IFERROR(1-(SUMIF('Grid BD'!$B:$B,$A200,'Grid BD'!$AD:$AD)/($AA200+SUMIF('Grid BD'!$B:$B,$A200,'Grid BD'!AD:AD))),"")</f>
        <v/>
      </c>
      <c r="S200" s="6"/>
      <c r="T200" s="232"/>
      <c r="U200" s="233" t="str">
        <f t="shared" si="13"/>
        <v/>
      </c>
      <c r="V200" s="233"/>
      <c r="W200" s="234" t="str">
        <f t="shared" si="15"/>
        <v/>
      </c>
      <c r="X200" s="227" t="str">
        <f>IFERROR(_xlfn.XLOOKUP($A200,'Raw Data'!$A:$A,'Raw Data'!$BA:$BA),"")</f>
        <v/>
      </c>
      <c r="Y200" s="227" t="str">
        <f>IFERROR(_xlfn.XLOOKUP($A200,'Raw Data'!$A:$A,'Raw Data'!BJ:BJ),"")</f>
        <v/>
      </c>
      <c r="Z200" s="227" t="str">
        <f>IFERROR(_xlfn.XLOOKUP($A200,'Raw Data'!$A:$A,'Raw Data'!BK:BK),"")</f>
        <v/>
      </c>
      <c r="AA200" s="227" t="str">
        <f>IFERROR(_xlfn.XLOOKUP($A200,'Raw Data'!$A:$A,'Raw Data'!BL:BL),"")</f>
        <v/>
      </c>
      <c r="AB200" s="227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27">
        <f>IFERROR(_xlfn.XLOOKUP($D200,'Modelling New'!$D:$D,'Modelling New'!$T:$T)*1000,"")</f>
        <v>108757.04807292875</v>
      </c>
      <c r="AE200" s="234">
        <f>IFERROR(_xlfn.XLOOKUP($D200,'Modelling New'!$D:$D,'Modelling New'!$O:$O),"")</f>
        <v>0.74145302903300359</v>
      </c>
      <c r="AF200" s="234">
        <f>IFERROR(_xlfn.XLOOKUP($D200,'Modelling New'!$D:$D,'Modelling New'!$W:$W),"")</f>
        <v>0.18645949157536959</v>
      </c>
      <c r="AG200" s="234">
        <f>IFERROR(_xlfn.XLOOKUP($D200,'Modelling New'!$D:$D,'Modelling New'!AE:AE),"")</f>
        <v>0.995</v>
      </c>
      <c r="AH200" s="234">
        <v>0.99750000000000005</v>
      </c>
      <c r="AI200" s="6"/>
      <c r="AJ200" s="6"/>
      <c r="AK200" s="6"/>
      <c r="AL200" s="6"/>
      <c r="AM200" s="6"/>
      <c r="AN200" s="231"/>
      <c r="AO200" s="234"/>
      <c r="AP200" s="234"/>
      <c r="AQ200" s="234"/>
      <c r="AR200" s="227">
        <f>IFERROR(_xlfn.XLOOKUP($D200,'Modelling New'!$D:$D,'Modelling New'!$N:$N),"")</f>
        <v>24.303100000000001</v>
      </c>
      <c r="AS200" s="227"/>
    </row>
    <row r="201" spans="1:45" x14ac:dyDescent="0.35">
      <c r="A201" s="226">
        <f t="shared" si="14"/>
        <v>45944</v>
      </c>
      <c r="B201" s="227">
        <f>YEAR(Daily_KPI[[#This Row],[Date]])+IF(MONTH(Daily_KPI[[#This Row],[Date]])&gt;=4,1,0)</f>
        <v>2026</v>
      </c>
      <c r="C201" s="6">
        <f>YEAR(Daily_KPI[[#This Row],[Date]])</f>
        <v>2025</v>
      </c>
      <c r="D201" s="228">
        <f>Daily_KPI[[#This Row],[Date]]-DAY(Daily_KPI[[#This Row],[Date]])+1</f>
        <v>45931</v>
      </c>
      <c r="E201" s="6">
        <f t="shared" si="16"/>
        <v>31</v>
      </c>
      <c r="F201" s="229" t="str">
        <f>IFERROR(_xlfn.XLOOKUP($A201,'Raw Data'!$A:$A,'Raw Data'!$BR:$BR),"")</f>
        <v/>
      </c>
      <c r="G201" s="230" t="str">
        <f>IFERROR(_xlfn.XLOOKUP($A201,'Raw Data'!$A:$A,'Raw Data'!$AO:$AO),"")</f>
        <v/>
      </c>
      <c r="H201" s="230"/>
      <c r="I201" s="230" t="str">
        <f>IFERROR(_xlfn.XLOOKUP($A201,'Raw Data'!$A:$A,'Raw Data'!$AR:$AR),"")</f>
        <v/>
      </c>
      <c r="J201" s="230"/>
      <c r="K201" s="230" t="str">
        <f>IFERROR(_xlfn.XLOOKUP($A201,'Raw Data'!$A:$A,'Raw Data'!$AV:$AV),"")</f>
        <v/>
      </c>
      <c r="L201" s="230" t="str">
        <f>IFERROR(_xlfn.XLOOKUP($A201,'Raw Data'!$A:$A,'Raw Data'!$AW:$AW),"")</f>
        <v/>
      </c>
      <c r="M201" s="230" t="str">
        <f>IFERROR(_xlfn.XLOOKUP($A201,'Raw Data'!$A:$A,'Raw Data'!$AX:$AX),"")</f>
        <v/>
      </c>
      <c r="N201" s="230" t="str">
        <f>IFERROR(_xlfn.XLOOKUP($A201,'Raw Data'!$A:$A,'Raw Data'!$AY:$AY),"")</f>
        <v/>
      </c>
      <c r="O201" s="231" t="str">
        <f>IFERROR(1-(SUMIF('Plant BD'!$B:$B,A201,'Plant BD'!$AE:$AE)/(AA201+SUMIF('Plant BD'!$B:$B,A201,'Plant BD'!$AE:$AE))),"")</f>
        <v/>
      </c>
      <c r="P201" s="231"/>
      <c r="Q201" s="232"/>
      <c r="R201" s="231" t="str">
        <f>IFERROR(1-(SUMIF('Grid BD'!$B:$B,$A201,'Grid BD'!$AD:$AD)/($AA201+SUMIF('Grid BD'!$B:$B,$A201,'Grid BD'!AD:AD))),"")</f>
        <v/>
      </c>
      <c r="S201" s="6"/>
      <c r="T201" s="232"/>
      <c r="U201" s="233" t="str">
        <f t="shared" si="13"/>
        <v/>
      </c>
      <c r="V201" s="233"/>
      <c r="W201" s="234" t="str">
        <f t="shared" si="15"/>
        <v/>
      </c>
      <c r="X201" s="227" t="str">
        <f>IFERROR(_xlfn.XLOOKUP($A201,'Raw Data'!$A:$A,'Raw Data'!$BA:$BA),"")</f>
        <v/>
      </c>
      <c r="Y201" s="227" t="str">
        <f>IFERROR(_xlfn.XLOOKUP($A201,'Raw Data'!$A:$A,'Raw Data'!BJ:BJ),"")</f>
        <v/>
      </c>
      <c r="Z201" s="227" t="str">
        <f>IFERROR(_xlfn.XLOOKUP($A201,'Raw Data'!$A:$A,'Raw Data'!BK:BK),"")</f>
        <v/>
      </c>
      <c r="AA201" s="227" t="str">
        <f>IFERROR(_xlfn.XLOOKUP($A201,'Raw Data'!$A:$A,'Raw Data'!BL:BL),"")</f>
        <v/>
      </c>
      <c r="AB201" s="227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27">
        <f>IFERROR(_xlfn.XLOOKUP($D201,'Modelling New'!$D:$D,'Modelling New'!$T:$T)*1000,"")</f>
        <v>108757.04807292875</v>
      </c>
      <c r="AE201" s="234">
        <f>IFERROR(_xlfn.XLOOKUP($D201,'Modelling New'!$D:$D,'Modelling New'!$O:$O),"")</f>
        <v>0.74145302903300359</v>
      </c>
      <c r="AF201" s="234">
        <f>IFERROR(_xlfn.XLOOKUP($D201,'Modelling New'!$D:$D,'Modelling New'!$W:$W),"")</f>
        <v>0.18645949157536959</v>
      </c>
      <c r="AG201" s="234">
        <f>IFERROR(_xlfn.XLOOKUP($D201,'Modelling New'!$D:$D,'Modelling New'!AE:AE),"")</f>
        <v>0.995</v>
      </c>
      <c r="AH201" s="234">
        <v>0.99750000000000005</v>
      </c>
      <c r="AI201" s="6"/>
      <c r="AJ201" s="6"/>
      <c r="AK201" s="6"/>
      <c r="AL201" s="6"/>
      <c r="AM201" s="6"/>
      <c r="AN201" s="231"/>
      <c r="AO201" s="234"/>
      <c r="AP201" s="234"/>
      <c r="AQ201" s="234"/>
      <c r="AR201" s="227">
        <f>IFERROR(_xlfn.XLOOKUP($D201,'Modelling New'!$D:$D,'Modelling New'!$N:$N),"")</f>
        <v>24.303100000000001</v>
      </c>
      <c r="AS201" s="227"/>
    </row>
    <row r="202" spans="1:45" x14ac:dyDescent="0.35">
      <c r="A202" s="226">
        <f t="shared" si="14"/>
        <v>45945</v>
      </c>
      <c r="B202" s="227">
        <f>YEAR(Daily_KPI[[#This Row],[Date]])+IF(MONTH(Daily_KPI[[#This Row],[Date]])&gt;=4,1,0)</f>
        <v>2026</v>
      </c>
      <c r="C202" s="6">
        <f>YEAR(Daily_KPI[[#This Row],[Date]])</f>
        <v>2025</v>
      </c>
      <c r="D202" s="228">
        <f>Daily_KPI[[#This Row],[Date]]-DAY(Daily_KPI[[#This Row],[Date]])+1</f>
        <v>45931</v>
      </c>
      <c r="E202" s="6">
        <f t="shared" si="16"/>
        <v>31</v>
      </c>
      <c r="F202" s="229" t="str">
        <f>IFERROR(_xlfn.XLOOKUP($A202,'Raw Data'!$A:$A,'Raw Data'!$BR:$BR),"")</f>
        <v/>
      </c>
      <c r="G202" s="230" t="str">
        <f>IFERROR(_xlfn.XLOOKUP($A202,'Raw Data'!$A:$A,'Raw Data'!$AO:$AO),"")</f>
        <v/>
      </c>
      <c r="H202" s="230"/>
      <c r="I202" s="230" t="str">
        <f>IFERROR(_xlfn.XLOOKUP($A202,'Raw Data'!$A:$A,'Raw Data'!$AR:$AR),"")</f>
        <v/>
      </c>
      <c r="J202" s="230"/>
      <c r="K202" s="230" t="str">
        <f>IFERROR(_xlfn.XLOOKUP($A202,'Raw Data'!$A:$A,'Raw Data'!$AV:$AV),"")</f>
        <v/>
      </c>
      <c r="L202" s="230" t="str">
        <f>IFERROR(_xlfn.XLOOKUP($A202,'Raw Data'!$A:$A,'Raw Data'!$AW:$AW),"")</f>
        <v/>
      </c>
      <c r="M202" s="230" t="str">
        <f>IFERROR(_xlfn.XLOOKUP($A202,'Raw Data'!$A:$A,'Raw Data'!$AX:$AX),"")</f>
        <v/>
      </c>
      <c r="N202" s="230" t="str">
        <f>IFERROR(_xlfn.XLOOKUP($A202,'Raw Data'!$A:$A,'Raw Data'!$AY:$AY),"")</f>
        <v/>
      </c>
      <c r="O202" s="231" t="str">
        <f>IFERROR(1-(SUMIF('Plant BD'!$B:$B,A202,'Plant BD'!$AE:$AE)/(AA202+SUMIF('Plant BD'!$B:$B,A202,'Plant BD'!$AE:$AE))),"")</f>
        <v/>
      </c>
      <c r="P202" s="231"/>
      <c r="Q202" s="232"/>
      <c r="R202" s="231" t="str">
        <f>IFERROR(1-(SUMIF('Grid BD'!$B:$B,$A202,'Grid BD'!$AD:$AD)/($AA202+SUMIF('Grid BD'!$B:$B,$A202,'Grid BD'!AD:AD))),"")</f>
        <v/>
      </c>
      <c r="S202" s="6"/>
      <c r="T202" s="232"/>
      <c r="U202" s="233" t="str">
        <f t="shared" si="13"/>
        <v/>
      </c>
      <c r="V202" s="233"/>
      <c r="W202" s="234" t="str">
        <f t="shared" si="15"/>
        <v/>
      </c>
      <c r="X202" s="227" t="str">
        <f>IFERROR(_xlfn.XLOOKUP($A202,'Raw Data'!$A:$A,'Raw Data'!$BA:$BA),"")</f>
        <v/>
      </c>
      <c r="Y202" s="227" t="str">
        <f>IFERROR(_xlfn.XLOOKUP($A202,'Raw Data'!$A:$A,'Raw Data'!BJ:BJ),"")</f>
        <v/>
      </c>
      <c r="Z202" s="227" t="str">
        <f>IFERROR(_xlfn.XLOOKUP($A202,'Raw Data'!$A:$A,'Raw Data'!BK:BK),"")</f>
        <v/>
      </c>
      <c r="AA202" s="227" t="str">
        <f>IFERROR(_xlfn.XLOOKUP($A202,'Raw Data'!$A:$A,'Raw Data'!BL:BL),"")</f>
        <v/>
      </c>
      <c r="AB202" s="227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27">
        <f>IFERROR(_xlfn.XLOOKUP($D202,'Modelling New'!$D:$D,'Modelling New'!$T:$T)*1000,"")</f>
        <v>108757.04807292875</v>
      </c>
      <c r="AE202" s="234">
        <f>IFERROR(_xlfn.XLOOKUP($D202,'Modelling New'!$D:$D,'Modelling New'!$O:$O),"")</f>
        <v>0.74145302903300359</v>
      </c>
      <c r="AF202" s="234">
        <f>IFERROR(_xlfn.XLOOKUP($D202,'Modelling New'!$D:$D,'Modelling New'!$W:$W),"")</f>
        <v>0.18645949157536959</v>
      </c>
      <c r="AG202" s="234">
        <f>IFERROR(_xlfn.XLOOKUP($D202,'Modelling New'!$D:$D,'Modelling New'!AE:AE),"")</f>
        <v>0.995</v>
      </c>
      <c r="AH202" s="234">
        <v>0.99750000000000005</v>
      </c>
      <c r="AI202" s="6"/>
      <c r="AJ202" s="6"/>
      <c r="AK202" s="6"/>
      <c r="AL202" s="6"/>
      <c r="AM202" s="6"/>
      <c r="AN202" s="231"/>
      <c r="AO202" s="234"/>
      <c r="AP202" s="234"/>
      <c r="AQ202" s="234"/>
      <c r="AR202" s="227">
        <f>IFERROR(_xlfn.XLOOKUP($D202,'Modelling New'!$D:$D,'Modelling New'!$N:$N),"")</f>
        <v>24.303100000000001</v>
      </c>
      <c r="AS202" s="227"/>
    </row>
    <row r="203" spans="1:45" x14ac:dyDescent="0.35">
      <c r="A203" s="226">
        <f t="shared" si="14"/>
        <v>45946</v>
      </c>
      <c r="B203" s="227">
        <f>YEAR(Daily_KPI[[#This Row],[Date]])+IF(MONTH(Daily_KPI[[#This Row],[Date]])&gt;=4,1,0)</f>
        <v>2026</v>
      </c>
      <c r="C203" s="6">
        <f>YEAR(Daily_KPI[[#This Row],[Date]])</f>
        <v>2025</v>
      </c>
      <c r="D203" s="228">
        <f>Daily_KPI[[#This Row],[Date]]-DAY(Daily_KPI[[#This Row],[Date]])+1</f>
        <v>45931</v>
      </c>
      <c r="E203" s="6">
        <f t="shared" si="16"/>
        <v>31</v>
      </c>
      <c r="F203" s="229" t="str">
        <f>IFERROR(_xlfn.XLOOKUP($A203,'Raw Data'!$A:$A,'Raw Data'!$BR:$BR),"")</f>
        <v/>
      </c>
      <c r="G203" s="230" t="str">
        <f>IFERROR(_xlfn.XLOOKUP($A203,'Raw Data'!$A:$A,'Raw Data'!$AO:$AO),"")</f>
        <v/>
      </c>
      <c r="H203" s="230"/>
      <c r="I203" s="230" t="str">
        <f>IFERROR(_xlfn.XLOOKUP($A203,'Raw Data'!$A:$A,'Raw Data'!$AR:$AR),"")</f>
        <v/>
      </c>
      <c r="J203" s="230"/>
      <c r="K203" s="230" t="str">
        <f>IFERROR(_xlfn.XLOOKUP($A203,'Raw Data'!$A:$A,'Raw Data'!$AV:$AV),"")</f>
        <v/>
      </c>
      <c r="L203" s="230" t="str">
        <f>IFERROR(_xlfn.XLOOKUP($A203,'Raw Data'!$A:$A,'Raw Data'!$AW:$AW),"")</f>
        <v/>
      </c>
      <c r="M203" s="230" t="str">
        <f>IFERROR(_xlfn.XLOOKUP($A203,'Raw Data'!$A:$A,'Raw Data'!$AX:$AX),"")</f>
        <v/>
      </c>
      <c r="N203" s="230" t="str">
        <f>IFERROR(_xlfn.XLOOKUP($A203,'Raw Data'!$A:$A,'Raw Data'!$AY:$AY),"")</f>
        <v/>
      </c>
      <c r="O203" s="231" t="str">
        <f>IFERROR(1-(SUMIF('Plant BD'!$B:$B,A203,'Plant BD'!$AE:$AE)/(AA203+SUMIF('Plant BD'!$B:$B,A203,'Plant BD'!$AE:$AE))),"")</f>
        <v/>
      </c>
      <c r="P203" s="231"/>
      <c r="Q203" s="232"/>
      <c r="R203" s="231" t="str">
        <f>IFERROR(1-(SUMIF('Grid BD'!$B:$B,$A203,'Grid BD'!$AD:$AD)/($AA203+SUMIF('Grid BD'!$B:$B,$A203,'Grid BD'!AD:AD))),"")</f>
        <v/>
      </c>
      <c r="S203" s="6"/>
      <c r="T203" s="232"/>
      <c r="U203" s="233" t="str">
        <f t="shared" si="13"/>
        <v/>
      </c>
      <c r="V203" s="233"/>
      <c r="W203" s="234" t="str">
        <f t="shared" si="15"/>
        <v/>
      </c>
      <c r="X203" s="227" t="str">
        <f>IFERROR(_xlfn.XLOOKUP($A203,'Raw Data'!$A:$A,'Raw Data'!$BA:$BA),"")</f>
        <v/>
      </c>
      <c r="Y203" s="227" t="str">
        <f>IFERROR(_xlfn.XLOOKUP($A203,'Raw Data'!$A:$A,'Raw Data'!BJ:BJ),"")</f>
        <v/>
      </c>
      <c r="Z203" s="227" t="str">
        <f>IFERROR(_xlfn.XLOOKUP($A203,'Raw Data'!$A:$A,'Raw Data'!BK:BK),"")</f>
        <v/>
      </c>
      <c r="AA203" s="227" t="str">
        <f>IFERROR(_xlfn.XLOOKUP($A203,'Raw Data'!$A:$A,'Raw Data'!BL:BL),"")</f>
        <v/>
      </c>
      <c r="AB203" s="227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27">
        <f>IFERROR(_xlfn.XLOOKUP($D203,'Modelling New'!$D:$D,'Modelling New'!$T:$T)*1000,"")</f>
        <v>108757.04807292875</v>
      </c>
      <c r="AE203" s="234">
        <f>IFERROR(_xlfn.XLOOKUP($D203,'Modelling New'!$D:$D,'Modelling New'!$O:$O),"")</f>
        <v>0.74145302903300359</v>
      </c>
      <c r="AF203" s="234">
        <f>IFERROR(_xlfn.XLOOKUP($D203,'Modelling New'!$D:$D,'Modelling New'!$W:$W),"")</f>
        <v>0.18645949157536959</v>
      </c>
      <c r="AG203" s="234">
        <f>IFERROR(_xlfn.XLOOKUP($D203,'Modelling New'!$D:$D,'Modelling New'!AE:AE),"")</f>
        <v>0.995</v>
      </c>
      <c r="AH203" s="234">
        <v>0.99750000000000005</v>
      </c>
      <c r="AI203" s="6"/>
      <c r="AJ203" s="6"/>
      <c r="AK203" s="6"/>
      <c r="AL203" s="6"/>
      <c r="AM203" s="6"/>
      <c r="AN203" s="231"/>
      <c r="AO203" s="234"/>
      <c r="AP203" s="234"/>
      <c r="AQ203" s="234"/>
      <c r="AR203" s="227">
        <f>IFERROR(_xlfn.XLOOKUP($D203,'Modelling New'!$D:$D,'Modelling New'!$N:$N),"")</f>
        <v>24.303100000000001</v>
      </c>
      <c r="AS203" s="227"/>
    </row>
    <row r="204" spans="1:45" x14ac:dyDescent="0.35">
      <c r="A204" s="226">
        <f t="shared" si="14"/>
        <v>45947</v>
      </c>
      <c r="B204" s="227">
        <f>YEAR(Daily_KPI[[#This Row],[Date]])+IF(MONTH(Daily_KPI[[#This Row],[Date]])&gt;=4,1,0)</f>
        <v>2026</v>
      </c>
      <c r="C204" s="6">
        <f>YEAR(Daily_KPI[[#This Row],[Date]])</f>
        <v>2025</v>
      </c>
      <c r="D204" s="228">
        <f>Daily_KPI[[#This Row],[Date]]-DAY(Daily_KPI[[#This Row],[Date]])+1</f>
        <v>45931</v>
      </c>
      <c r="E204" s="6">
        <f t="shared" si="16"/>
        <v>31</v>
      </c>
      <c r="F204" s="229" t="str">
        <f>IFERROR(_xlfn.XLOOKUP($A204,'Raw Data'!$A:$A,'Raw Data'!$BR:$BR),"")</f>
        <v/>
      </c>
      <c r="G204" s="230" t="str">
        <f>IFERROR(_xlfn.XLOOKUP($A204,'Raw Data'!$A:$A,'Raw Data'!$AO:$AO),"")</f>
        <v/>
      </c>
      <c r="H204" s="230"/>
      <c r="I204" s="230" t="str">
        <f>IFERROR(_xlfn.XLOOKUP($A204,'Raw Data'!$A:$A,'Raw Data'!$AR:$AR),"")</f>
        <v/>
      </c>
      <c r="J204" s="230"/>
      <c r="K204" s="230" t="str">
        <f>IFERROR(_xlfn.XLOOKUP($A204,'Raw Data'!$A:$A,'Raw Data'!$AV:$AV),"")</f>
        <v/>
      </c>
      <c r="L204" s="230" t="str">
        <f>IFERROR(_xlfn.XLOOKUP($A204,'Raw Data'!$A:$A,'Raw Data'!$AW:$AW),"")</f>
        <v/>
      </c>
      <c r="M204" s="230" t="str">
        <f>IFERROR(_xlfn.XLOOKUP($A204,'Raw Data'!$A:$A,'Raw Data'!$AX:$AX),"")</f>
        <v/>
      </c>
      <c r="N204" s="230" t="str">
        <f>IFERROR(_xlfn.XLOOKUP($A204,'Raw Data'!$A:$A,'Raw Data'!$AY:$AY),"")</f>
        <v/>
      </c>
      <c r="O204" s="231" t="str">
        <f>IFERROR(1-(SUMIF('Plant BD'!$B:$B,A204,'Plant BD'!$AE:$AE)/(AA204+SUMIF('Plant BD'!$B:$B,A204,'Plant BD'!$AE:$AE))),"")</f>
        <v/>
      </c>
      <c r="P204" s="231"/>
      <c r="Q204" s="232"/>
      <c r="R204" s="231" t="str">
        <f>IFERROR(1-(SUMIF('Grid BD'!$B:$B,$A204,'Grid BD'!$AD:$AD)/($AA204+SUMIF('Grid BD'!$B:$B,$A204,'Grid BD'!AD:AD))),"")</f>
        <v/>
      </c>
      <c r="S204" s="6"/>
      <c r="T204" s="232"/>
      <c r="U204" s="233" t="str">
        <f t="shared" si="13"/>
        <v/>
      </c>
      <c r="V204" s="233"/>
      <c r="W204" s="234" t="str">
        <f t="shared" si="15"/>
        <v/>
      </c>
      <c r="X204" s="227" t="str">
        <f>IFERROR(_xlfn.XLOOKUP($A204,'Raw Data'!$A:$A,'Raw Data'!$BA:$BA),"")</f>
        <v/>
      </c>
      <c r="Y204" s="227" t="str">
        <f>IFERROR(_xlfn.XLOOKUP($A204,'Raw Data'!$A:$A,'Raw Data'!BJ:BJ),"")</f>
        <v/>
      </c>
      <c r="Z204" s="227" t="str">
        <f>IFERROR(_xlfn.XLOOKUP($A204,'Raw Data'!$A:$A,'Raw Data'!BK:BK),"")</f>
        <v/>
      </c>
      <c r="AA204" s="227" t="str">
        <f>IFERROR(_xlfn.XLOOKUP($A204,'Raw Data'!$A:$A,'Raw Data'!BL:BL),"")</f>
        <v/>
      </c>
      <c r="AB204" s="227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27">
        <f>IFERROR(_xlfn.XLOOKUP($D204,'Modelling New'!$D:$D,'Modelling New'!$T:$T)*1000,"")</f>
        <v>108757.04807292875</v>
      </c>
      <c r="AE204" s="234">
        <f>IFERROR(_xlfn.XLOOKUP($D204,'Modelling New'!$D:$D,'Modelling New'!$O:$O),"")</f>
        <v>0.74145302903300359</v>
      </c>
      <c r="AF204" s="234">
        <f>IFERROR(_xlfn.XLOOKUP($D204,'Modelling New'!$D:$D,'Modelling New'!$W:$W),"")</f>
        <v>0.18645949157536959</v>
      </c>
      <c r="AG204" s="234">
        <f>IFERROR(_xlfn.XLOOKUP($D204,'Modelling New'!$D:$D,'Modelling New'!AE:AE),"")</f>
        <v>0.995</v>
      </c>
      <c r="AH204" s="234">
        <v>0.99750000000000005</v>
      </c>
      <c r="AI204" s="6"/>
      <c r="AJ204" s="6"/>
      <c r="AK204" s="6"/>
      <c r="AL204" s="6"/>
      <c r="AM204" s="6"/>
      <c r="AN204" s="231"/>
      <c r="AO204" s="234"/>
      <c r="AP204" s="234"/>
      <c r="AQ204" s="234"/>
      <c r="AR204" s="227">
        <f>IFERROR(_xlfn.XLOOKUP($D204,'Modelling New'!$D:$D,'Modelling New'!$N:$N),"")</f>
        <v>24.303100000000001</v>
      </c>
      <c r="AS204" s="227"/>
    </row>
    <row r="205" spans="1:45" x14ac:dyDescent="0.35">
      <c r="A205" s="226">
        <f t="shared" si="14"/>
        <v>45948</v>
      </c>
      <c r="B205" s="227">
        <f>YEAR(Daily_KPI[[#This Row],[Date]])+IF(MONTH(Daily_KPI[[#This Row],[Date]])&gt;=4,1,0)</f>
        <v>2026</v>
      </c>
      <c r="C205" s="6">
        <f>YEAR(Daily_KPI[[#This Row],[Date]])</f>
        <v>2025</v>
      </c>
      <c r="D205" s="228">
        <f>Daily_KPI[[#This Row],[Date]]-DAY(Daily_KPI[[#This Row],[Date]])+1</f>
        <v>45931</v>
      </c>
      <c r="E205" s="6">
        <f t="shared" si="16"/>
        <v>31</v>
      </c>
      <c r="F205" s="229" t="str">
        <f>IFERROR(_xlfn.XLOOKUP($A205,'Raw Data'!$A:$A,'Raw Data'!$BR:$BR),"")</f>
        <v/>
      </c>
      <c r="G205" s="230" t="str">
        <f>IFERROR(_xlfn.XLOOKUP($A205,'Raw Data'!$A:$A,'Raw Data'!$AO:$AO),"")</f>
        <v/>
      </c>
      <c r="H205" s="230"/>
      <c r="I205" s="230" t="str">
        <f>IFERROR(_xlfn.XLOOKUP($A205,'Raw Data'!$A:$A,'Raw Data'!$AR:$AR),"")</f>
        <v/>
      </c>
      <c r="J205" s="230"/>
      <c r="K205" s="230" t="str">
        <f>IFERROR(_xlfn.XLOOKUP($A205,'Raw Data'!$A:$A,'Raw Data'!$AV:$AV),"")</f>
        <v/>
      </c>
      <c r="L205" s="230" t="str">
        <f>IFERROR(_xlfn.XLOOKUP($A205,'Raw Data'!$A:$A,'Raw Data'!$AW:$AW),"")</f>
        <v/>
      </c>
      <c r="M205" s="230" t="str">
        <f>IFERROR(_xlfn.XLOOKUP($A205,'Raw Data'!$A:$A,'Raw Data'!$AX:$AX),"")</f>
        <v/>
      </c>
      <c r="N205" s="230" t="str">
        <f>IFERROR(_xlfn.XLOOKUP($A205,'Raw Data'!$A:$A,'Raw Data'!$AY:$AY),"")</f>
        <v/>
      </c>
      <c r="O205" s="231" t="str">
        <f>IFERROR(1-(SUMIF('Plant BD'!$B:$B,A205,'Plant BD'!$AE:$AE)/(AA205+SUMIF('Plant BD'!$B:$B,A205,'Plant BD'!$AE:$AE))),"")</f>
        <v/>
      </c>
      <c r="P205" s="231"/>
      <c r="Q205" s="232"/>
      <c r="R205" s="231" t="str">
        <f>IFERROR(1-(SUMIF('Grid BD'!$B:$B,$A205,'Grid BD'!$AD:$AD)/($AA205+SUMIF('Grid BD'!$B:$B,$A205,'Grid BD'!AD:AD))),"")</f>
        <v/>
      </c>
      <c r="S205" s="6"/>
      <c r="T205" s="232"/>
      <c r="U205" s="233" t="str">
        <f t="shared" si="13"/>
        <v/>
      </c>
      <c r="V205" s="233"/>
      <c r="W205" s="234" t="str">
        <f t="shared" si="15"/>
        <v/>
      </c>
      <c r="X205" s="227" t="str">
        <f>IFERROR(_xlfn.XLOOKUP($A205,'Raw Data'!$A:$A,'Raw Data'!$BA:$BA),"")</f>
        <v/>
      </c>
      <c r="Y205" s="227" t="str">
        <f>IFERROR(_xlfn.XLOOKUP($A205,'Raw Data'!$A:$A,'Raw Data'!BJ:BJ),"")</f>
        <v/>
      </c>
      <c r="Z205" s="227" t="str">
        <f>IFERROR(_xlfn.XLOOKUP($A205,'Raw Data'!$A:$A,'Raw Data'!BK:BK),"")</f>
        <v/>
      </c>
      <c r="AA205" s="227" t="str">
        <f>IFERROR(_xlfn.XLOOKUP($A205,'Raw Data'!$A:$A,'Raw Data'!BL:BL),"")</f>
        <v/>
      </c>
      <c r="AB205" s="227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27">
        <f>IFERROR(_xlfn.XLOOKUP($D205,'Modelling New'!$D:$D,'Modelling New'!$T:$T)*1000,"")</f>
        <v>108757.04807292875</v>
      </c>
      <c r="AE205" s="234">
        <f>IFERROR(_xlfn.XLOOKUP($D205,'Modelling New'!$D:$D,'Modelling New'!$O:$O),"")</f>
        <v>0.74145302903300359</v>
      </c>
      <c r="AF205" s="234">
        <f>IFERROR(_xlfn.XLOOKUP($D205,'Modelling New'!$D:$D,'Modelling New'!$W:$W),"")</f>
        <v>0.18645949157536959</v>
      </c>
      <c r="AG205" s="234">
        <f>IFERROR(_xlfn.XLOOKUP($D205,'Modelling New'!$D:$D,'Modelling New'!AE:AE),"")</f>
        <v>0.995</v>
      </c>
      <c r="AH205" s="234">
        <v>0.99750000000000005</v>
      </c>
      <c r="AI205" s="6"/>
      <c r="AJ205" s="6"/>
      <c r="AK205" s="6"/>
      <c r="AL205" s="6"/>
      <c r="AM205" s="6"/>
      <c r="AN205" s="231"/>
      <c r="AO205" s="234"/>
      <c r="AP205" s="234"/>
      <c r="AQ205" s="234"/>
      <c r="AR205" s="227">
        <f>IFERROR(_xlfn.XLOOKUP($D205,'Modelling New'!$D:$D,'Modelling New'!$N:$N),"")</f>
        <v>24.303100000000001</v>
      </c>
      <c r="AS205" s="227"/>
    </row>
    <row r="206" spans="1:45" x14ac:dyDescent="0.35">
      <c r="A206" s="226">
        <f t="shared" si="14"/>
        <v>45949</v>
      </c>
      <c r="B206" s="227">
        <f>YEAR(Daily_KPI[[#This Row],[Date]])+IF(MONTH(Daily_KPI[[#This Row],[Date]])&gt;=4,1,0)</f>
        <v>2026</v>
      </c>
      <c r="C206" s="6">
        <f>YEAR(Daily_KPI[[#This Row],[Date]])</f>
        <v>2025</v>
      </c>
      <c r="D206" s="228">
        <f>Daily_KPI[[#This Row],[Date]]-DAY(Daily_KPI[[#This Row],[Date]])+1</f>
        <v>45931</v>
      </c>
      <c r="E206" s="6">
        <f t="shared" si="16"/>
        <v>31</v>
      </c>
      <c r="F206" s="229" t="str">
        <f>IFERROR(_xlfn.XLOOKUP($A206,'Raw Data'!$A:$A,'Raw Data'!$BR:$BR),"")</f>
        <v/>
      </c>
      <c r="G206" s="230" t="str">
        <f>IFERROR(_xlfn.XLOOKUP($A206,'Raw Data'!$A:$A,'Raw Data'!$AO:$AO),"")</f>
        <v/>
      </c>
      <c r="H206" s="230"/>
      <c r="I206" s="230" t="str">
        <f>IFERROR(_xlfn.XLOOKUP($A206,'Raw Data'!$A:$A,'Raw Data'!$AR:$AR),"")</f>
        <v/>
      </c>
      <c r="J206" s="230"/>
      <c r="K206" s="230" t="str">
        <f>IFERROR(_xlfn.XLOOKUP($A206,'Raw Data'!$A:$A,'Raw Data'!$AV:$AV),"")</f>
        <v/>
      </c>
      <c r="L206" s="230" t="str">
        <f>IFERROR(_xlfn.XLOOKUP($A206,'Raw Data'!$A:$A,'Raw Data'!$AW:$AW),"")</f>
        <v/>
      </c>
      <c r="M206" s="230" t="str">
        <f>IFERROR(_xlfn.XLOOKUP($A206,'Raw Data'!$A:$A,'Raw Data'!$AX:$AX),"")</f>
        <v/>
      </c>
      <c r="N206" s="230" t="str">
        <f>IFERROR(_xlfn.XLOOKUP($A206,'Raw Data'!$A:$A,'Raw Data'!$AY:$AY),"")</f>
        <v/>
      </c>
      <c r="O206" s="231" t="str">
        <f>IFERROR(1-(SUMIF('Plant BD'!$B:$B,A206,'Plant BD'!$AE:$AE)/(AA206+SUMIF('Plant BD'!$B:$B,A206,'Plant BD'!$AE:$AE))),"")</f>
        <v/>
      </c>
      <c r="P206" s="231"/>
      <c r="Q206" s="232"/>
      <c r="R206" s="231" t="str">
        <f>IFERROR(1-(SUMIF('Grid BD'!$B:$B,$A206,'Grid BD'!$AD:$AD)/($AA206+SUMIF('Grid BD'!$B:$B,$A206,'Grid BD'!AD:AD))),"")</f>
        <v/>
      </c>
      <c r="S206" s="6"/>
      <c r="T206" s="232"/>
      <c r="U206" s="233" t="str">
        <f t="shared" si="13"/>
        <v/>
      </c>
      <c r="V206" s="233"/>
      <c r="W206" s="234" t="str">
        <f t="shared" si="15"/>
        <v/>
      </c>
      <c r="X206" s="227" t="str">
        <f>IFERROR(_xlfn.XLOOKUP($A206,'Raw Data'!$A:$A,'Raw Data'!$BA:$BA),"")</f>
        <v/>
      </c>
      <c r="Y206" s="227" t="str">
        <f>IFERROR(_xlfn.XLOOKUP($A206,'Raw Data'!$A:$A,'Raw Data'!BJ:BJ),"")</f>
        <v/>
      </c>
      <c r="Z206" s="227" t="str">
        <f>IFERROR(_xlfn.XLOOKUP($A206,'Raw Data'!$A:$A,'Raw Data'!BK:BK),"")</f>
        <v/>
      </c>
      <c r="AA206" s="227" t="str">
        <f>IFERROR(_xlfn.XLOOKUP($A206,'Raw Data'!$A:$A,'Raw Data'!BL:BL),"")</f>
        <v/>
      </c>
      <c r="AB206" s="227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27">
        <f>IFERROR(_xlfn.XLOOKUP($D206,'Modelling New'!$D:$D,'Modelling New'!$T:$T)*1000,"")</f>
        <v>108757.04807292875</v>
      </c>
      <c r="AE206" s="234">
        <f>IFERROR(_xlfn.XLOOKUP($D206,'Modelling New'!$D:$D,'Modelling New'!$O:$O),"")</f>
        <v>0.74145302903300359</v>
      </c>
      <c r="AF206" s="234">
        <f>IFERROR(_xlfn.XLOOKUP($D206,'Modelling New'!$D:$D,'Modelling New'!$W:$W),"")</f>
        <v>0.18645949157536959</v>
      </c>
      <c r="AG206" s="234">
        <f>IFERROR(_xlfn.XLOOKUP($D206,'Modelling New'!$D:$D,'Modelling New'!AE:AE),"")</f>
        <v>0.995</v>
      </c>
      <c r="AH206" s="234">
        <v>0.99750000000000005</v>
      </c>
      <c r="AI206" s="6"/>
      <c r="AJ206" s="6"/>
      <c r="AK206" s="6"/>
      <c r="AL206" s="6"/>
      <c r="AM206" s="6"/>
      <c r="AN206" s="231"/>
      <c r="AO206" s="234"/>
      <c r="AP206" s="234"/>
      <c r="AQ206" s="234"/>
      <c r="AR206" s="227">
        <f>IFERROR(_xlfn.XLOOKUP($D206,'Modelling New'!$D:$D,'Modelling New'!$N:$N),"")</f>
        <v>24.303100000000001</v>
      </c>
      <c r="AS206" s="227"/>
    </row>
    <row r="207" spans="1:45" x14ac:dyDescent="0.35">
      <c r="A207" s="226">
        <f t="shared" si="14"/>
        <v>45950</v>
      </c>
      <c r="B207" s="227">
        <f>YEAR(Daily_KPI[[#This Row],[Date]])+IF(MONTH(Daily_KPI[[#This Row],[Date]])&gt;=4,1,0)</f>
        <v>2026</v>
      </c>
      <c r="C207" s="6">
        <f>YEAR(Daily_KPI[[#This Row],[Date]])</f>
        <v>2025</v>
      </c>
      <c r="D207" s="228">
        <f>Daily_KPI[[#This Row],[Date]]-DAY(Daily_KPI[[#This Row],[Date]])+1</f>
        <v>45931</v>
      </c>
      <c r="E207" s="6">
        <f t="shared" si="16"/>
        <v>31</v>
      </c>
      <c r="F207" s="229" t="str">
        <f>IFERROR(_xlfn.XLOOKUP($A207,'Raw Data'!$A:$A,'Raw Data'!$BR:$BR),"")</f>
        <v/>
      </c>
      <c r="G207" s="230" t="str">
        <f>IFERROR(_xlfn.XLOOKUP($A207,'Raw Data'!$A:$A,'Raw Data'!$AO:$AO),"")</f>
        <v/>
      </c>
      <c r="H207" s="230"/>
      <c r="I207" s="230" t="str">
        <f>IFERROR(_xlfn.XLOOKUP($A207,'Raw Data'!$A:$A,'Raw Data'!$AR:$AR),"")</f>
        <v/>
      </c>
      <c r="J207" s="230"/>
      <c r="K207" s="230" t="str">
        <f>IFERROR(_xlfn.XLOOKUP($A207,'Raw Data'!$A:$A,'Raw Data'!$AV:$AV),"")</f>
        <v/>
      </c>
      <c r="L207" s="230" t="str">
        <f>IFERROR(_xlfn.XLOOKUP($A207,'Raw Data'!$A:$A,'Raw Data'!$AW:$AW),"")</f>
        <v/>
      </c>
      <c r="M207" s="230" t="str">
        <f>IFERROR(_xlfn.XLOOKUP($A207,'Raw Data'!$A:$A,'Raw Data'!$AX:$AX),"")</f>
        <v/>
      </c>
      <c r="N207" s="230" t="str">
        <f>IFERROR(_xlfn.XLOOKUP($A207,'Raw Data'!$A:$A,'Raw Data'!$AY:$AY),"")</f>
        <v/>
      </c>
      <c r="O207" s="231" t="str">
        <f>IFERROR(1-(SUMIF('Plant BD'!$B:$B,A207,'Plant BD'!$AE:$AE)/(AA207+SUMIF('Plant BD'!$B:$B,A207,'Plant BD'!$AE:$AE))),"")</f>
        <v/>
      </c>
      <c r="P207" s="231"/>
      <c r="Q207" s="232"/>
      <c r="R207" s="231" t="str">
        <f>IFERROR(1-(SUMIF('Grid BD'!$B:$B,$A207,'Grid BD'!$AD:$AD)/($AA207+SUMIF('Grid BD'!$B:$B,$A207,'Grid BD'!AD:AD))),"")</f>
        <v/>
      </c>
      <c r="S207" s="6"/>
      <c r="T207" s="232"/>
      <c r="U207" s="233" t="str">
        <f t="shared" si="13"/>
        <v/>
      </c>
      <c r="V207" s="233"/>
      <c r="W207" s="234" t="str">
        <f t="shared" si="15"/>
        <v/>
      </c>
      <c r="X207" s="227" t="str">
        <f>IFERROR(_xlfn.XLOOKUP($A207,'Raw Data'!$A:$A,'Raw Data'!$BA:$BA),"")</f>
        <v/>
      </c>
      <c r="Y207" s="227" t="str">
        <f>IFERROR(_xlfn.XLOOKUP($A207,'Raw Data'!$A:$A,'Raw Data'!BJ:BJ),"")</f>
        <v/>
      </c>
      <c r="Z207" s="227" t="str">
        <f>IFERROR(_xlfn.XLOOKUP($A207,'Raw Data'!$A:$A,'Raw Data'!BK:BK),"")</f>
        <v/>
      </c>
      <c r="AA207" s="227" t="str">
        <f>IFERROR(_xlfn.XLOOKUP($A207,'Raw Data'!$A:$A,'Raw Data'!BL:BL),"")</f>
        <v/>
      </c>
      <c r="AB207" s="227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27">
        <f>IFERROR(_xlfn.XLOOKUP($D207,'Modelling New'!$D:$D,'Modelling New'!$T:$T)*1000,"")</f>
        <v>108757.04807292875</v>
      </c>
      <c r="AE207" s="234">
        <f>IFERROR(_xlfn.XLOOKUP($D207,'Modelling New'!$D:$D,'Modelling New'!$O:$O),"")</f>
        <v>0.74145302903300359</v>
      </c>
      <c r="AF207" s="234">
        <f>IFERROR(_xlfn.XLOOKUP($D207,'Modelling New'!$D:$D,'Modelling New'!$W:$W),"")</f>
        <v>0.18645949157536959</v>
      </c>
      <c r="AG207" s="234">
        <f>IFERROR(_xlfn.XLOOKUP($D207,'Modelling New'!$D:$D,'Modelling New'!AE:AE),"")</f>
        <v>0.995</v>
      </c>
      <c r="AH207" s="234">
        <v>0.99750000000000005</v>
      </c>
      <c r="AI207" s="6"/>
      <c r="AJ207" s="6"/>
      <c r="AK207" s="6"/>
      <c r="AL207" s="6"/>
      <c r="AM207" s="6"/>
      <c r="AN207" s="231"/>
      <c r="AO207" s="234"/>
      <c r="AP207" s="234"/>
      <c r="AQ207" s="234"/>
      <c r="AR207" s="227">
        <f>IFERROR(_xlfn.XLOOKUP($D207,'Modelling New'!$D:$D,'Modelling New'!$N:$N),"")</f>
        <v>24.303100000000001</v>
      </c>
      <c r="AS207" s="227"/>
    </row>
    <row r="208" spans="1:45" x14ac:dyDescent="0.35">
      <c r="A208" s="226">
        <f t="shared" si="14"/>
        <v>45951</v>
      </c>
      <c r="B208" s="227">
        <f>YEAR(Daily_KPI[[#This Row],[Date]])+IF(MONTH(Daily_KPI[[#This Row],[Date]])&gt;=4,1,0)</f>
        <v>2026</v>
      </c>
      <c r="C208" s="6">
        <f>YEAR(Daily_KPI[[#This Row],[Date]])</f>
        <v>2025</v>
      </c>
      <c r="D208" s="228">
        <f>Daily_KPI[[#This Row],[Date]]-DAY(Daily_KPI[[#This Row],[Date]])+1</f>
        <v>45931</v>
      </c>
      <c r="E208" s="6">
        <f t="shared" si="16"/>
        <v>31</v>
      </c>
      <c r="F208" s="229" t="str">
        <f>IFERROR(_xlfn.XLOOKUP($A208,'Raw Data'!$A:$A,'Raw Data'!$BR:$BR),"")</f>
        <v/>
      </c>
      <c r="G208" s="230" t="str">
        <f>IFERROR(_xlfn.XLOOKUP($A208,'Raw Data'!$A:$A,'Raw Data'!$AO:$AO),"")</f>
        <v/>
      </c>
      <c r="H208" s="230"/>
      <c r="I208" s="230" t="str">
        <f>IFERROR(_xlfn.XLOOKUP($A208,'Raw Data'!$A:$A,'Raw Data'!$AR:$AR),"")</f>
        <v/>
      </c>
      <c r="J208" s="230"/>
      <c r="K208" s="230" t="str">
        <f>IFERROR(_xlfn.XLOOKUP($A208,'Raw Data'!$A:$A,'Raw Data'!$AV:$AV),"")</f>
        <v/>
      </c>
      <c r="L208" s="230" t="str">
        <f>IFERROR(_xlfn.XLOOKUP($A208,'Raw Data'!$A:$A,'Raw Data'!$AW:$AW),"")</f>
        <v/>
      </c>
      <c r="M208" s="230" t="str">
        <f>IFERROR(_xlfn.XLOOKUP($A208,'Raw Data'!$A:$A,'Raw Data'!$AX:$AX),"")</f>
        <v/>
      </c>
      <c r="N208" s="230" t="str">
        <f>IFERROR(_xlfn.XLOOKUP($A208,'Raw Data'!$A:$A,'Raw Data'!$AY:$AY),"")</f>
        <v/>
      </c>
      <c r="O208" s="231" t="str">
        <f>IFERROR(1-(SUMIF('Plant BD'!$B:$B,A208,'Plant BD'!$AE:$AE)/(AA208+SUMIF('Plant BD'!$B:$B,A208,'Plant BD'!$AE:$AE))),"")</f>
        <v/>
      </c>
      <c r="P208" s="231"/>
      <c r="Q208" s="232"/>
      <c r="R208" s="231" t="str">
        <f>IFERROR(1-(SUMIF('Grid BD'!$B:$B,$A208,'Grid BD'!$AD:$AD)/($AA208+SUMIF('Grid BD'!$B:$B,$A208,'Grid BD'!AD:AD))),"")</f>
        <v/>
      </c>
      <c r="S208" s="6"/>
      <c r="T208" s="232"/>
      <c r="U208" s="233" t="str">
        <f t="shared" si="13"/>
        <v/>
      </c>
      <c r="V208" s="233"/>
      <c r="W208" s="234" t="str">
        <f t="shared" si="15"/>
        <v/>
      </c>
      <c r="X208" s="227" t="str">
        <f>IFERROR(_xlfn.XLOOKUP($A208,'Raw Data'!$A:$A,'Raw Data'!$BA:$BA),"")</f>
        <v/>
      </c>
      <c r="Y208" s="227" t="str">
        <f>IFERROR(_xlfn.XLOOKUP($A208,'Raw Data'!$A:$A,'Raw Data'!BJ:BJ),"")</f>
        <v/>
      </c>
      <c r="Z208" s="227" t="str">
        <f>IFERROR(_xlfn.XLOOKUP($A208,'Raw Data'!$A:$A,'Raw Data'!BK:BK),"")</f>
        <v/>
      </c>
      <c r="AA208" s="227" t="str">
        <f>IFERROR(_xlfn.XLOOKUP($A208,'Raw Data'!$A:$A,'Raw Data'!BL:BL),"")</f>
        <v/>
      </c>
      <c r="AB208" s="227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27">
        <f>IFERROR(_xlfn.XLOOKUP($D208,'Modelling New'!$D:$D,'Modelling New'!$T:$T)*1000,"")</f>
        <v>108757.04807292875</v>
      </c>
      <c r="AE208" s="234">
        <f>IFERROR(_xlfn.XLOOKUP($D208,'Modelling New'!$D:$D,'Modelling New'!$O:$O),"")</f>
        <v>0.74145302903300359</v>
      </c>
      <c r="AF208" s="234">
        <f>IFERROR(_xlfn.XLOOKUP($D208,'Modelling New'!$D:$D,'Modelling New'!$W:$W),"")</f>
        <v>0.18645949157536959</v>
      </c>
      <c r="AG208" s="234">
        <f>IFERROR(_xlfn.XLOOKUP($D208,'Modelling New'!$D:$D,'Modelling New'!AE:AE),"")</f>
        <v>0.995</v>
      </c>
      <c r="AH208" s="234">
        <v>0.99750000000000005</v>
      </c>
      <c r="AI208" s="6"/>
      <c r="AJ208" s="6"/>
      <c r="AK208" s="6"/>
      <c r="AL208" s="6"/>
      <c r="AM208" s="6"/>
      <c r="AN208" s="231"/>
      <c r="AO208" s="234"/>
      <c r="AP208" s="234"/>
      <c r="AQ208" s="234"/>
      <c r="AR208" s="227">
        <f>IFERROR(_xlfn.XLOOKUP($D208,'Modelling New'!$D:$D,'Modelling New'!$N:$N),"")</f>
        <v>24.303100000000001</v>
      </c>
      <c r="AS208" s="227"/>
    </row>
    <row r="209" spans="1:45" x14ac:dyDescent="0.35">
      <c r="A209" s="226">
        <f t="shared" si="14"/>
        <v>45952</v>
      </c>
      <c r="B209" s="227">
        <f>YEAR(Daily_KPI[[#This Row],[Date]])+IF(MONTH(Daily_KPI[[#This Row],[Date]])&gt;=4,1,0)</f>
        <v>2026</v>
      </c>
      <c r="C209" s="6">
        <f>YEAR(Daily_KPI[[#This Row],[Date]])</f>
        <v>2025</v>
      </c>
      <c r="D209" s="228">
        <f>Daily_KPI[[#This Row],[Date]]-DAY(Daily_KPI[[#This Row],[Date]])+1</f>
        <v>45931</v>
      </c>
      <c r="E209" s="6">
        <f t="shared" si="16"/>
        <v>31</v>
      </c>
      <c r="F209" s="229" t="str">
        <f>IFERROR(_xlfn.XLOOKUP($A209,'Raw Data'!$A:$A,'Raw Data'!$BR:$BR),"")</f>
        <v/>
      </c>
      <c r="G209" s="230" t="str">
        <f>IFERROR(_xlfn.XLOOKUP($A209,'Raw Data'!$A:$A,'Raw Data'!$AO:$AO),"")</f>
        <v/>
      </c>
      <c r="H209" s="230"/>
      <c r="I209" s="230" t="str">
        <f>IFERROR(_xlfn.XLOOKUP($A209,'Raw Data'!$A:$A,'Raw Data'!$AR:$AR),"")</f>
        <v/>
      </c>
      <c r="J209" s="230"/>
      <c r="K209" s="230" t="str">
        <f>IFERROR(_xlfn.XLOOKUP($A209,'Raw Data'!$A:$A,'Raw Data'!$AV:$AV),"")</f>
        <v/>
      </c>
      <c r="L209" s="230" t="str">
        <f>IFERROR(_xlfn.XLOOKUP($A209,'Raw Data'!$A:$A,'Raw Data'!$AW:$AW),"")</f>
        <v/>
      </c>
      <c r="M209" s="230" t="str">
        <f>IFERROR(_xlfn.XLOOKUP($A209,'Raw Data'!$A:$A,'Raw Data'!$AX:$AX),"")</f>
        <v/>
      </c>
      <c r="N209" s="230" t="str">
        <f>IFERROR(_xlfn.XLOOKUP($A209,'Raw Data'!$A:$A,'Raw Data'!$AY:$AY),"")</f>
        <v/>
      </c>
      <c r="O209" s="231" t="str">
        <f>IFERROR(1-(SUMIF('Plant BD'!$B:$B,A209,'Plant BD'!$AE:$AE)/(AA209+SUMIF('Plant BD'!$B:$B,A209,'Plant BD'!$AE:$AE))),"")</f>
        <v/>
      </c>
      <c r="P209" s="231"/>
      <c r="Q209" s="232"/>
      <c r="R209" s="231" t="str">
        <f>IFERROR(1-(SUMIF('Grid BD'!$B:$B,$A209,'Grid BD'!$AD:$AD)/($AA209+SUMIF('Grid BD'!$B:$B,$A209,'Grid BD'!AD:AD))),"")</f>
        <v/>
      </c>
      <c r="S209" s="6"/>
      <c r="T209" s="232"/>
      <c r="U209" s="233" t="str">
        <f t="shared" si="13"/>
        <v/>
      </c>
      <c r="V209" s="233"/>
      <c r="W209" s="234" t="str">
        <f t="shared" si="15"/>
        <v/>
      </c>
      <c r="X209" s="227" t="str">
        <f>IFERROR(_xlfn.XLOOKUP($A209,'Raw Data'!$A:$A,'Raw Data'!$BA:$BA),"")</f>
        <v/>
      </c>
      <c r="Y209" s="227" t="str">
        <f>IFERROR(_xlfn.XLOOKUP($A209,'Raw Data'!$A:$A,'Raw Data'!BJ:BJ),"")</f>
        <v/>
      </c>
      <c r="Z209" s="227" t="str">
        <f>IFERROR(_xlfn.XLOOKUP($A209,'Raw Data'!$A:$A,'Raw Data'!BK:BK),"")</f>
        <v/>
      </c>
      <c r="AA209" s="227" t="str">
        <f>IFERROR(_xlfn.XLOOKUP($A209,'Raw Data'!$A:$A,'Raw Data'!BL:BL),"")</f>
        <v/>
      </c>
      <c r="AB209" s="227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27">
        <f>IFERROR(_xlfn.XLOOKUP($D209,'Modelling New'!$D:$D,'Modelling New'!$T:$T)*1000,"")</f>
        <v>108757.04807292875</v>
      </c>
      <c r="AE209" s="234">
        <f>IFERROR(_xlfn.XLOOKUP($D209,'Modelling New'!$D:$D,'Modelling New'!$O:$O),"")</f>
        <v>0.74145302903300359</v>
      </c>
      <c r="AF209" s="234">
        <f>IFERROR(_xlfn.XLOOKUP($D209,'Modelling New'!$D:$D,'Modelling New'!$W:$W),"")</f>
        <v>0.18645949157536959</v>
      </c>
      <c r="AG209" s="234">
        <f>IFERROR(_xlfn.XLOOKUP($D209,'Modelling New'!$D:$D,'Modelling New'!AE:AE),"")</f>
        <v>0.995</v>
      </c>
      <c r="AH209" s="234">
        <v>0.99750000000000005</v>
      </c>
      <c r="AI209" s="6"/>
      <c r="AJ209" s="6"/>
      <c r="AK209" s="6"/>
      <c r="AL209" s="6"/>
      <c r="AM209" s="6"/>
      <c r="AN209" s="231"/>
      <c r="AO209" s="234"/>
      <c r="AP209" s="234"/>
      <c r="AQ209" s="234"/>
      <c r="AR209" s="227">
        <f>IFERROR(_xlfn.XLOOKUP($D209,'Modelling New'!$D:$D,'Modelling New'!$N:$N),"")</f>
        <v>24.303100000000001</v>
      </c>
      <c r="AS209" s="227"/>
    </row>
    <row r="210" spans="1:45" x14ac:dyDescent="0.35">
      <c r="A210" s="226">
        <f t="shared" si="14"/>
        <v>45953</v>
      </c>
      <c r="B210" s="227">
        <f>YEAR(Daily_KPI[[#This Row],[Date]])+IF(MONTH(Daily_KPI[[#This Row],[Date]])&gt;=4,1,0)</f>
        <v>2026</v>
      </c>
      <c r="C210" s="6">
        <f>YEAR(Daily_KPI[[#This Row],[Date]])</f>
        <v>2025</v>
      </c>
      <c r="D210" s="228">
        <f>Daily_KPI[[#This Row],[Date]]-DAY(Daily_KPI[[#This Row],[Date]])+1</f>
        <v>45931</v>
      </c>
      <c r="E210" s="6">
        <f t="shared" si="16"/>
        <v>31</v>
      </c>
      <c r="F210" s="229" t="str">
        <f>IFERROR(_xlfn.XLOOKUP($A210,'Raw Data'!$A:$A,'Raw Data'!$BR:$BR),"")</f>
        <v/>
      </c>
      <c r="G210" s="230" t="str">
        <f>IFERROR(_xlfn.XLOOKUP($A210,'Raw Data'!$A:$A,'Raw Data'!$AO:$AO),"")</f>
        <v/>
      </c>
      <c r="H210" s="230"/>
      <c r="I210" s="230" t="str">
        <f>IFERROR(_xlfn.XLOOKUP($A210,'Raw Data'!$A:$A,'Raw Data'!$AR:$AR),"")</f>
        <v/>
      </c>
      <c r="J210" s="230"/>
      <c r="K210" s="230" t="str">
        <f>IFERROR(_xlfn.XLOOKUP($A210,'Raw Data'!$A:$A,'Raw Data'!$AV:$AV),"")</f>
        <v/>
      </c>
      <c r="L210" s="230" t="str">
        <f>IFERROR(_xlfn.XLOOKUP($A210,'Raw Data'!$A:$A,'Raw Data'!$AW:$AW),"")</f>
        <v/>
      </c>
      <c r="M210" s="230" t="str">
        <f>IFERROR(_xlfn.XLOOKUP($A210,'Raw Data'!$A:$A,'Raw Data'!$AX:$AX),"")</f>
        <v/>
      </c>
      <c r="N210" s="230" t="str">
        <f>IFERROR(_xlfn.XLOOKUP($A210,'Raw Data'!$A:$A,'Raw Data'!$AY:$AY),"")</f>
        <v/>
      </c>
      <c r="O210" s="231" t="str">
        <f>IFERROR(1-(SUMIF('Plant BD'!$B:$B,A210,'Plant BD'!$AE:$AE)/(AA210+SUMIF('Plant BD'!$B:$B,A210,'Plant BD'!$AE:$AE))),"")</f>
        <v/>
      </c>
      <c r="P210" s="231"/>
      <c r="Q210" s="232"/>
      <c r="R210" s="231" t="str">
        <f>IFERROR(1-(SUMIF('Grid BD'!$B:$B,$A210,'Grid BD'!$AD:$AD)/($AA210+SUMIF('Grid BD'!$B:$B,$A210,'Grid BD'!AD:AD))),"")</f>
        <v/>
      </c>
      <c r="S210" s="6"/>
      <c r="T210" s="232"/>
      <c r="U210" s="233" t="str">
        <f t="shared" ref="U210:U273" si="17">IFERROR(AA210/I210/AB210/1000,"")</f>
        <v/>
      </c>
      <c r="V210" s="233"/>
      <c r="W210" s="234" t="str">
        <f t="shared" si="15"/>
        <v/>
      </c>
      <c r="X210" s="227" t="str">
        <f>IFERROR(_xlfn.XLOOKUP($A210,'Raw Data'!$A:$A,'Raw Data'!$BA:$BA),"")</f>
        <v/>
      </c>
      <c r="Y210" s="227" t="str">
        <f>IFERROR(_xlfn.XLOOKUP($A210,'Raw Data'!$A:$A,'Raw Data'!BJ:BJ),"")</f>
        <v/>
      </c>
      <c r="Z210" s="227" t="str">
        <f>IFERROR(_xlfn.XLOOKUP($A210,'Raw Data'!$A:$A,'Raw Data'!BK:BK),"")</f>
        <v/>
      </c>
      <c r="AA210" s="227" t="str">
        <f>IFERROR(_xlfn.XLOOKUP($A210,'Raw Data'!$A:$A,'Raw Data'!BL:BL),"")</f>
        <v/>
      </c>
      <c r="AB210" s="227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27">
        <f>IFERROR(_xlfn.XLOOKUP($D210,'Modelling New'!$D:$D,'Modelling New'!$T:$T)*1000,"")</f>
        <v>108757.04807292875</v>
      </c>
      <c r="AE210" s="234">
        <f>IFERROR(_xlfn.XLOOKUP($D210,'Modelling New'!$D:$D,'Modelling New'!$O:$O),"")</f>
        <v>0.74145302903300359</v>
      </c>
      <c r="AF210" s="234">
        <f>IFERROR(_xlfn.XLOOKUP($D210,'Modelling New'!$D:$D,'Modelling New'!$W:$W),"")</f>
        <v>0.18645949157536959</v>
      </c>
      <c r="AG210" s="234">
        <f>IFERROR(_xlfn.XLOOKUP($D210,'Modelling New'!$D:$D,'Modelling New'!AE:AE),"")</f>
        <v>0.995</v>
      </c>
      <c r="AH210" s="234">
        <v>0.99750000000000005</v>
      </c>
      <c r="AI210" s="6"/>
      <c r="AJ210" s="6"/>
      <c r="AK210" s="6"/>
      <c r="AL210" s="6"/>
      <c r="AM210" s="6"/>
      <c r="AN210" s="231"/>
      <c r="AO210" s="234"/>
      <c r="AP210" s="234"/>
      <c r="AQ210" s="234"/>
      <c r="AR210" s="227">
        <f>IFERROR(_xlfn.XLOOKUP($D210,'Modelling New'!$D:$D,'Modelling New'!$N:$N),"")</f>
        <v>24.303100000000001</v>
      </c>
      <c r="AS210" s="227"/>
    </row>
    <row r="211" spans="1:45" x14ac:dyDescent="0.35">
      <c r="A211" s="226">
        <f t="shared" si="14"/>
        <v>45954</v>
      </c>
      <c r="B211" s="227">
        <f>YEAR(Daily_KPI[[#This Row],[Date]])+IF(MONTH(Daily_KPI[[#This Row],[Date]])&gt;=4,1,0)</f>
        <v>2026</v>
      </c>
      <c r="C211" s="6">
        <f>YEAR(Daily_KPI[[#This Row],[Date]])</f>
        <v>2025</v>
      </c>
      <c r="D211" s="228">
        <f>Daily_KPI[[#This Row],[Date]]-DAY(Daily_KPI[[#This Row],[Date]])+1</f>
        <v>45931</v>
      </c>
      <c r="E211" s="6">
        <f t="shared" si="16"/>
        <v>31</v>
      </c>
      <c r="F211" s="229" t="str">
        <f>IFERROR(_xlfn.XLOOKUP($A211,'Raw Data'!$A:$A,'Raw Data'!$BR:$BR),"")</f>
        <v/>
      </c>
      <c r="G211" s="230" t="str">
        <f>IFERROR(_xlfn.XLOOKUP($A211,'Raw Data'!$A:$A,'Raw Data'!$AO:$AO),"")</f>
        <v/>
      </c>
      <c r="H211" s="230"/>
      <c r="I211" s="230" t="str">
        <f>IFERROR(_xlfn.XLOOKUP($A211,'Raw Data'!$A:$A,'Raw Data'!$AR:$AR),"")</f>
        <v/>
      </c>
      <c r="J211" s="230"/>
      <c r="K211" s="230" t="str">
        <f>IFERROR(_xlfn.XLOOKUP($A211,'Raw Data'!$A:$A,'Raw Data'!$AV:$AV),"")</f>
        <v/>
      </c>
      <c r="L211" s="230" t="str">
        <f>IFERROR(_xlfn.XLOOKUP($A211,'Raw Data'!$A:$A,'Raw Data'!$AW:$AW),"")</f>
        <v/>
      </c>
      <c r="M211" s="230" t="str">
        <f>IFERROR(_xlfn.XLOOKUP($A211,'Raw Data'!$A:$A,'Raw Data'!$AX:$AX),"")</f>
        <v/>
      </c>
      <c r="N211" s="230" t="str">
        <f>IFERROR(_xlfn.XLOOKUP($A211,'Raw Data'!$A:$A,'Raw Data'!$AY:$AY),"")</f>
        <v/>
      </c>
      <c r="O211" s="231" t="str">
        <f>IFERROR(1-(SUMIF('Plant BD'!$B:$B,A211,'Plant BD'!$AE:$AE)/(AA211+SUMIF('Plant BD'!$B:$B,A211,'Plant BD'!$AE:$AE))),"")</f>
        <v/>
      </c>
      <c r="P211" s="231"/>
      <c r="Q211" s="232"/>
      <c r="R211" s="231" t="str">
        <f>IFERROR(1-(SUMIF('Grid BD'!$B:$B,$A211,'Grid BD'!$AD:$AD)/($AA211+SUMIF('Grid BD'!$B:$B,$A211,'Grid BD'!AD:AD))),"")</f>
        <v/>
      </c>
      <c r="S211" s="6"/>
      <c r="T211" s="232"/>
      <c r="U211" s="233" t="str">
        <f t="shared" si="17"/>
        <v/>
      </c>
      <c r="V211" s="233"/>
      <c r="W211" s="234" t="str">
        <f t="shared" si="15"/>
        <v/>
      </c>
      <c r="X211" s="227" t="str">
        <f>IFERROR(_xlfn.XLOOKUP($A211,'Raw Data'!$A:$A,'Raw Data'!$BA:$BA),"")</f>
        <v/>
      </c>
      <c r="Y211" s="227" t="str">
        <f>IFERROR(_xlfn.XLOOKUP($A211,'Raw Data'!$A:$A,'Raw Data'!BJ:BJ),"")</f>
        <v/>
      </c>
      <c r="Z211" s="227" t="str">
        <f>IFERROR(_xlfn.XLOOKUP($A211,'Raw Data'!$A:$A,'Raw Data'!BK:BK),"")</f>
        <v/>
      </c>
      <c r="AA211" s="227" t="str">
        <f>IFERROR(_xlfn.XLOOKUP($A211,'Raw Data'!$A:$A,'Raw Data'!BL:BL),"")</f>
        <v/>
      </c>
      <c r="AB211" s="227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27">
        <f>IFERROR(_xlfn.XLOOKUP($D211,'Modelling New'!$D:$D,'Modelling New'!$T:$T)*1000,"")</f>
        <v>108757.04807292875</v>
      </c>
      <c r="AE211" s="234">
        <f>IFERROR(_xlfn.XLOOKUP($D211,'Modelling New'!$D:$D,'Modelling New'!$O:$O),"")</f>
        <v>0.74145302903300359</v>
      </c>
      <c r="AF211" s="234">
        <f>IFERROR(_xlfn.XLOOKUP($D211,'Modelling New'!$D:$D,'Modelling New'!$W:$W),"")</f>
        <v>0.18645949157536959</v>
      </c>
      <c r="AG211" s="234">
        <f>IFERROR(_xlfn.XLOOKUP($D211,'Modelling New'!$D:$D,'Modelling New'!AE:AE),"")</f>
        <v>0.995</v>
      </c>
      <c r="AH211" s="234">
        <v>0.99750000000000005</v>
      </c>
      <c r="AI211" s="6"/>
      <c r="AJ211" s="6"/>
      <c r="AK211" s="6"/>
      <c r="AL211" s="6"/>
      <c r="AM211" s="6"/>
      <c r="AN211" s="231"/>
      <c r="AO211" s="234"/>
      <c r="AP211" s="234"/>
      <c r="AQ211" s="234"/>
      <c r="AR211" s="227">
        <f>IFERROR(_xlfn.XLOOKUP($D211,'Modelling New'!$D:$D,'Modelling New'!$N:$N),"")</f>
        <v>24.303100000000001</v>
      </c>
      <c r="AS211" s="227"/>
    </row>
    <row r="212" spans="1:45" x14ac:dyDescent="0.35">
      <c r="A212" s="226">
        <f t="shared" ref="A212:A275" si="18">A211+1</f>
        <v>45955</v>
      </c>
      <c r="B212" s="227">
        <f>YEAR(Daily_KPI[[#This Row],[Date]])+IF(MONTH(Daily_KPI[[#This Row],[Date]])&gt;=4,1,0)</f>
        <v>2026</v>
      </c>
      <c r="C212" s="6">
        <f>YEAR(Daily_KPI[[#This Row],[Date]])</f>
        <v>2025</v>
      </c>
      <c r="D212" s="228">
        <f>Daily_KPI[[#This Row],[Date]]-DAY(Daily_KPI[[#This Row],[Date]])+1</f>
        <v>45931</v>
      </c>
      <c r="E212" s="6">
        <f t="shared" si="16"/>
        <v>31</v>
      </c>
      <c r="F212" s="229" t="str">
        <f>IFERROR(_xlfn.XLOOKUP($A212,'Raw Data'!$A:$A,'Raw Data'!$BR:$BR),"")</f>
        <v/>
      </c>
      <c r="G212" s="230" t="str">
        <f>IFERROR(_xlfn.XLOOKUP($A212,'Raw Data'!$A:$A,'Raw Data'!$AO:$AO),"")</f>
        <v/>
      </c>
      <c r="H212" s="230"/>
      <c r="I212" s="230" t="str">
        <f>IFERROR(_xlfn.XLOOKUP($A212,'Raw Data'!$A:$A,'Raw Data'!$AR:$AR),"")</f>
        <v/>
      </c>
      <c r="J212" s="230"/>
      <c r="K212" s="230" t="str">
        <f>IFERROR(_xlfn.XLOOKUP($A212,'Raw Data'!$A:$A,'Raw Data'!$AV:$AV),"")</f>
        <v/>
      </c>
      <c r="L212" s="230" t="str">
        <f>IFERROR(_xlfn.XLOOKUP($A212,'Raw Data'!$A:$A,'Raw Data'!$AW:$AW),"")</f>
        <v/>
      </c>
      <c r="M212" s="230" t="str">
        <f>IFERROR(_xlfn.XLOOKUP($A212,'Raw Data'!$A:$A,'Raw Data'!$AX:$AX),"")</f>
        <v/>
      </c>
      <c r="N212" s="230" t="str">
        <f>IFERROR(_xlfn.XLOOKUP($A212,'Raw Data'!$A:$A,'Raw Data'!$AY:$AY),"")</f>
        <v/>
      </c>
      <c r="O212" s="231" t="str">
        <f>IFERROR(1-(SUMIF('Plant BD'!$B:$B,A212,'Plant BD'!$AE:$AE)/(AA212+SUMIF('Plant BD'!$B:$B,A212,'Plant BD'!$AE:$AE))),"")</f>
        <v/>
      </c>
      <c r="P212" s="231"/>
      <c r="Q212" s="232"/>
      <c r="R212" s="231" t="str">
        <f>IFERROR(1-(SUMIF('Grid BD'!$B:$B,$A212,'Grid BD'!$AD:$AD)/($AA212+SUMIF('Grid BD'!$B:$B,$A212,'Grid BD'!AD:AD))),"")</f>
        <v/>
      </c>
      <c r="S212" s="6"/>
      <c r="T212" s="232"/>
      <c r="U212" s="233" t="str">
        <f t="shared" si="17"/>
        <v/>
      </c>
      <c r="V212" s="233"/>
      <c r="W212" s="234" t="str">
        <f t="shared" si="15"/>
        <v/>
      </c>
      <c r="X212" s="227" t="str">
        <f>IFERROR(_xlfn.XLOOKUP($A212,'Raw Data'!$A:$A,'Raw Data'!$BA:$BA),"")</f>
        <v/>
      </c>
      <c r="Y212" s="227" t="str">
        <f>IFERROR(_xlfn.XLOOKUP($A212,'Raw Data'!$A:$A,'Raw Data'!BJ:BJ),"")</f>
        <v/>
      </c>
      <c r="Z212" s="227" t="str">
        <f>IFERROR(_xlfn.XLOOKUP($A212,'Raw Data'!$A:$A,'Raw Data'!BK:BK),"")</f>
        <v/>
      </c>
      <c r="AA212" s="227" t="str">
        <f>IFERROR(_xlfn.XLOOKUP($A212,'Raw Data'!$A:$A,'Raw Data'!BL:BL),"")</f>
        <v/>
      </c>
      <c r="AB212" s="227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27">
        <f>IFERROR(_xlfn.XLOOKUP($D212,'Modelling New'!$D:$D,'Modelling New'!$T:$T)*1000,"")</f>
        <v>108757.04807292875</v>
      </c>
      <c r="AE212" s="234">
        <f>IFERROR(_xlfn.XLOOKUP($D212,'Modelling New'!$D:$D,'Modelling New'!$O:$O),"")</f>
        <v>0.74145302903300359</v>
      </c>
      <c r="AF212" s="234">
        <f>IFERROR(_xlfn.XLOOKUP($D212,'Modelling New'!$D:$D,'Modelling New'!$W:$W),"")</f>
        <v>0.18645949157536959</v>
      </c>
      <c r="AG212" s="234">
        <f>IFERROR(_xlfn.XLOOKUP($D212,'Modelling New'!$D:$D,'Modelling New'!AE:AE),"")</f>
        <v>0.995</v>
      </c>
      <c r="AH212" s="234">
        <v>0.99750000000000005</v>
      </c>
      <c r="AI212" s="6"/>
      <c r="AJ212" s="6"/>
      <c r="AK212" s="6"/>
      <c r="AL212" s="6"/>
      <c r="AM212" s="6"/>
      <c r="AN212" s="231"/>
      <c r="AO212" s="234"/>
      <c r="AP212" s="234"/>
      <c r="AQ212" s="234"/>
      <c r="AR212" s="227">
        <f>IFERROR(_xlfn.XLOOKUP($D212,'Modelling New'!$D:$D,'Modelling New'!$N:$N),"")</f>
        <v>24.303100000000001</v>
      </c>
      <c r="AS212" s="227"/>
    </row>
    <row r="213" spans="1:45" x14ac:dyDescent="0.35">
      <c r="A213" s="226">
        <f t="shared" si="18"/>
        <v>45956</v>
      </c>
      <c r="B213" s="227">
        <f>YEAR(Daily_KPI[[#This Row],[Date]])+IF(MONTH(Daily_KPI[[#This Row],[Date]])&gt;=4,1,0)</f>
        <v>2026</v>
      </c>
      <c r="C213" s="6">
        <f>YEAR(Daily_KPI[[#This Row],[Date]])</f>
        <v>2025</v>
      </c>
      <c r="D213" s="228">
        <f>Daily_KPI[[#This Row],[Date]]-DAY(Daily_KPI[[#This Row],[Date]])+1</f>
        <v>45931</v>
      </c>
      <c r="E213" s="6">
        <f t="shared" si="16"/>
        <v>31</v>
      </c>
      <c r="F213" s="229" t="str">
        <f>IFERROR(_xlfn.XLOOKUP($A213,'Raw Data'!$A:$A,'Raw Data'!$BR:$BR),"")</f>
        <v/>
      </c>
      <c r="G213" s="230" t="str">
        <f>IFERROR(_xlfn.XLOOKUP($A213,'Raw Data'!$A:$A,'Raw Data'!$AO:$AO),"")</f>
        <v/>
      </c>
      <c r="H213" s="230"/>
      <c r="I213" s="230" t="str">
        <f>IFERROR(_xlfn.XLOOKUP($A213,'Raw Data'!$A:$A,'Raw Data'!$AR:$AR),"")</f>
        <v/>
      </c>
      <c r="J213" s="230"/>
      <c r="K213" s="230" t="str">
        <f>IFERROR(_xlfn.XLOOKUP($A213,'Raw Data'!$A:$A,'Raw Data'!$AV:$AV),"")</f>
        <v/>
      </c>
      <c r="L213" s="230" t="str">
        <f>IFERROR(_xlfn.XLOOKUP($A213,'Raw Data'!$A:$A,'Raw Data'!$AW:$AW),"")</f>
        <v/>
      </c>
      <c r="M213" s="230" t="str">
        <f>IFERROR(_xlfn.XLOOKUP($A213,'Raw Data'!$A:$A,'Raw Data'!$AX:$AX),"")</f>
        <v/>
      </c>
      <c r="N213" s="230" t="str">
        <f>IFERROR(_xlfn.XLOOKUP($A213,'Raw Data'!$A:$A,'Raw Data'!$AY:$AY),"")</f>
        <v/>
      </c>
      <c r="O213" s="231" t="str">
        <f>IFERROR(1-(SUMIF('Plant BD'!$B:$B,A213,'Plant BD'!$AE:$AE)/(AA213+SUMIF('Plant BD'!$B:$B,A213,'Plant BD'!$AE:$AE))),"")</f>
        <v/>
      </c>
      <c r="P213" s="231"/>
      <c r="Q213" s="232"/>
      <c r="R213" s="231" t="str">
        <f>IFERROR(1-(SUMIF('Grid BD'!$B:$B,$A213,'Grid BD'!$AD:$AD)/($AA213+SUMIF('Grid BD'!$B:$B,$A213,'Grid BD'!AD:AD))),"")</f>
        <v/>
      </c>
      <c r="S213" s="6"/>
      <c r="T213" s="232"/>
      <c r="U213" s="233" t="str">
        <f t="shared" si="17"/>
        <v/>
      </c>
      <c r="V213" s="233"/>
      <c r="W213" s="234" t="str">
        <f t="shared" si="15"/>
        <v/>
      </c>
      <c r="X213" s="227" t="str">
        <f>IFERROR(_xlfn.XLOOKUP($A213,'Raw Data'!$A:$A,'Raw Data'!$BA:$BA),"")</f>
        <v/>
      </c>
      <c r="Y213" s="227" t="str">
        <f>IFERROR(_xlfn.XLOOKUP($A213,'Raw Data'!$A:$A,'Raw Data'!BJ:BJ),"")</f>
        <v/>
      </c>
      <c r="Z213" s="227" t="str">
        <f>IFERROR(_xlfn.XLOOKUP($A213,'Raw Data'!$A:$A,'Raw Data'!BK:BK),"")</f>
        <v/>
      </c>
      <c r="AA213" s="227" t="str">
        <f>IFERROR(_xlfn.XLOOKUP($A213,'Raw Data'!$A:$A,'Raw Data'!BL:BL),"")</f>
        <v/>
      </c>
      <c r="AB213" s="227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27">
        <f>IFERROR(_xlfn.XLOOKUP($D213,'Modelling New'!$D:$D,'Modelling New'!$T:$T)*1000,"")</f>
        <v>108757.04807292875</v>
      </c>
      <c r="AE213" s="234">
        <f>IFERROR(_xlfn.XLOOKUP($D213,'Modelling New'!$D:$D,'Modelling New'!$O:$O),"")</f>
        <v>0.74145302903300359</v>
      </c>
      <c r="AF213" s="234">
        <f>IFERROR(_xlfn.XLOOKUP($D213,'Modelling New'!$D:$D,'Modelling New'!$W:$W),"")</f>
        <v>0.18645949157536959</v>
      </c>
      <c r="AG213" s="234">
        <f>IFERROR(_xlfn.XLOOKUP($D213,'Modelling New'!$D:$D,'Modelling New'!AE:AE),"")</f>
        <v>0.995</v>
      </c>
      <c r="AH213" s="234">
        <v>0.99750000000000005</v>
      </c>
      <c r="AI213" s="6"/>
      <c r="AJ213" s="6"/>
      <c r="AK213" s="6"/>
      <c r="AL213" s="6"/>
      <c r="AM213" s="6"/>
      <c r="AN213" s="231"/>
      <c r="AO213" s="234"/>
      <c r="AP213" s="234"/>
      <c r="AQ213" s="234"/>
      <c r="AR213" s="227">
        <f>IFERROR(_xlfn.XLOOKUP($D213,'Modelling New'!$D:$D,'Modelling New'!$N:$N),"")</f>
        <v>24.303100000000001</v>
      </c>
      <c r="AS213" s="227"/>
    </row>
    <row r="214" spans="1:45" x14ac:dyDescent="0.35">
      <c r="A214" s="226">
        <f t="shared" si="18"/>
        <v>45957</v>
      </c>
      <c r="B214" s="227">
        <f>YEAR(Daily_KPI[[#This Row],[Date]])+IF(MONTH(Daily_KPI[[#This Row],[Date]])&gt;=4,1,0)</f>
        <v>2026</v>
      </c>
      <c r="C214" s="6">
        <f>YEAR(Daily_KPI[[#This Row],[Date]])</f>
        <v>2025</v>
      </c>
      <c r="D214" s="228">
        <f>Daily_KPI[[#This Row],[Date]]-DAY(Daily_KPI[[#This Row],[Date]])+1</f>
        <v>45931</v>
      </c>
      <c r="E214" s="6">
        <f t="shared" si="16"/>
        <v>31</v>
      </c>
      <c r="F214" s="229" t="str">
        <f>IFERROR(_xlfn.XLOOKUP($A214,'Raw Data'!$A:$A,'Raw Data'!$BR:$BR),"")</f>
        <v/>
      </c>
      <c r="G214" s="230" t="str">
        <f>IFERROR(_xlfn.XLOOKUP($A214,'Raw Data'!$A:$A,'Raw Data'!$AO:$AO),"")</f>
        <v/>
      </c>
      <c r="H214" s="230"/>
      <c r="I214" s="230" t="str">
        <f>IFERROR(_xlfn.XLOOKUP($A214,'Raw Data'!$A:$A,'Raw Data'!$AR:$AR),"")</f>
        <v/>
      </c>
      <c r="J214" s="230"/>
      <c r="K214" s="230" t="str">
        <f>IFERROR(_xlfn.XLOOKUP($A214,'Raw Data'!$A:$A,'Raw Data'!$AV:$AV),"")</f>
        <v/>
      </c>
      <c r="L214" s="230" t="str">
        <f>IFERROR(_xlfn.XLOOKUP($A214,'Raw Data'!$A:$A,'Raw Data'!$AW:$AW),"")</f>
        <v/>
      </c>
      <c r="M214" s="230" t="str">
        <f>IFERROR(_xlfn.XLOOKUP($A214,'Raw Data'!$A:$A,'Raw Data'!$AX:$AX),"")</f>
        <v/>
      </c>
      <c r="N214" s="230" t="str">
        <f>IFERROR(_xlfn.XLOOKUP($A214,'Raw Data'!$A:$A,'Raw Data'!$AY:$AY),"")</f>
        <v/>
      </c>
      <c r="O214" s="231" t="str">
        <f>IFERROR(1-(SUMIF('Plant BD'!$B:$B,A214,'Plant BD'!$AE:$AE)/(AA214+SUMIF('Plant BD'!$B:$B,A214,'Plant BD'!$AE:$AE))),"")</f>
        <v/>
      </c>
      <c r="P214" s="231"/>
      <c r="Q214" s="232"/>
      <c r="R214" s="231" t="str">
        <f>IFERROR(1-(SUMIF('Grid BD'!$B:$B,$A214,'Grid BD'!$AD:$AD)/($AA214+SUMIF('Grid BD'!$B:$B,$A214,'Grid BD'!AD:AD))),"")</f>
        <v/>
      </c>
      <c r="S214" s="6"/>
      <c r="T214" s="232"/>
      <c r="U214" s="233" t="str">
        <f t="shared" si="17"/>
        <v/>
      </c>
      <c r="V214" s="233"/>
      <c r="W214" s="234" t="str">
        <f t="shared" si="15"/>
        <v/>
      </c>
      <c r="X214" s="227" t="str">
        <f>IFERROR(_xlfn.XLOOKUP($A214,'Raw Data'!$A:$A,'Raw Data'!$BA:$BA),"")</f>
        <v/>
      </c>
      <c r="Y214" s="227" t="str">
        <f>IFERROR(_xlfn.XLOOKUP($A214,'Raw Data'!$A:$A,'Raw Data'!BJ:BJ),"")</f>
        <v/>
      </c>
      <c r="Z214" s="227" t="str">
        <f>IFERROR(_xlfn.XLOOKUP($A214,'Raw Data'!$A:$A,'Raw Data'!BK:BK),"")</f>
        <v/>
      </c>
      <c r="AA214" s="227" t="str">
        <f>IFERROR(_xlfn.XLOOKUP($A214,'Raw Data'!$A:$A,'Raw Data'!BL:BL),"")</f>
        <v/>
      </c>
      <c r="AB214" s="227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27">
        <f>IFERROR(_xlfn.XLOOKUP($D214,'Modelling New'!$D:$D,'Modelling New'!$T:$T)*1000,"")</f>
        <v>108757.04807292875</v>
      </c>
      <c r="AE214" s="234">
        <f>IFERROR(_xlfn.XLOOKUP($D214,'Modelling New'!$D:$D,'Modelling New'!$O:$O),"")</f>
        <v>0.74145302903300359</v>
      </c>
      <c r="AF214" s="234">
        <f>IFERROR(_xlfn.XLOOKUP($D214,'Modelling New'!$D:$D,'Modelling New'!$W:$W),"")</f>
        <v>0.18645949157536959</v>
      </c>
      <c r="AG214" s="234">
        <f>IFERROR(_xlfn.XLOOKUP($D214,'Modelling New'!$D:$D,'Modelling New'!AE:AE),"")</f>
        <v>0.995</v>
      </c>
      <c r="AH214" s="234">
        <v>0.99750000000000005</v>
      </c>
      <c r="AI214" s="6"/>
      <c r="AJ214" s="6"/>
      <c r="AK214" s="6"/>
      <c r="AL214" s="6"/>
      <c r="AM214" s="6"/>
      <c r="AN214" s="231"/>
      <c r="AO214" s="234"/>
      <c r="AP214" s="234"/>
      <c r="AQ214" s="234"/>
      <c r="AR214" s="227">
        <f>IFERROR(_xlfn.XLOOKUP($D214,'Modelling New'!$D:$D,'Modelling New'!$N:$N),"")</f>
        <v>24.303100000000001</v>
      </c>
      <c r="AS214" s="227"/>
    </row>
    <row r="215" spans="1:45" x14ac:dyDescent="0.35">
      <c r="A215" s="226">
        <f t="shared" si="18"/>
        <v>45958</v>
      </c>
      <c r="B215" s="227">
        <f>YEAR(Daily_KPI[[#This Row],[Date]])+IF(MONTH(Daily_KPI[[#This Row],[Date]])&gt;=4,1,0)</f>
        <v>2026</v>
      </c>
      <c r="C215" s="6">
        <f>YEAR(Daily_KPI[[#This Row],[Date]])</f>
        <v>2025</v>
      </c>
      <c r="D215" s="228">
        <f>Daily_KPI[[#This Row],[Date]]-DAY(Daily_KPI[[#This Row],[Date]])+1</f>
        <v>45931</v>
      </c>
      <c r="E215" s="6">
        <f t="shared" si="16"/>
        <v>31</v>
      </c>
      <c r="F215" s="229" t="str">
        <f>IFERROR(_xlfn.XLOOKUP($A215,'Raw Data'!$A:$A,'Raw Data'!$BR:$BR),"")</f>
        <v/>
      </c>
      <c r="G215" s="230" t="str">
        <f>IFERROR(_xlfn.XLOOKUP($A215,'Raw Data'!$A:$A,'Raw Data'!$AO:$AO),"")</f>
        <v/>
      </c>
      <c r="H215" s="230"/>
      <c r="I215" s="230" t="str">
        <f>IFERROR(_xlfn.XLOOKUP($A215,'Raw Data'!$A:$A,'Raw Data'!$AR:$AR),"")</f>
        <v/>
      </c>
      <c r="J215" s="230"/>
      <c r="K215" s="230" t="str">
        <f>IFERROR(_xlfn.XLOOKUP($A215,'Raw Data'!$A:$A,'Raw Data'!$AV:$AV),"")</f>
        <v/>
      </c>
      <c r="L215" s="230" t="str">
        <f>IFERROR(_xlfn.XLOOKUP($A215,'Raw Data'!$A:$A,'Raw Data'!$AW:$AW),"")</f>
        <v/>
      </c>
      <c r="M215" s="230" t="str">
        <f>IFERROR(_xlfn.XLOOKUP($A215,'Raw Data'!$A:$A,'Raw Data'!$AX:$AX),"")</f>
        <v/>
      </c>
      <c r="N215" s="230" t="str">
        <f>IFERROR(_xlfn.XLOOKUP($A215,'Raw Data'!$A:$A,'Raw Data'!$AY:$AY),"")</f>
        <v/>
      </c>
      <c r="O215" s="231" t="str">
        <f>IFERROR(1-(SUMIF('Plant BD'!$B:$B,A215,'Plant BD'!$AE:$AE)/(AA215+SUMIF('Plant BD'!$B:$B,A215,'Plant BD'!$AE:$AE))),"")</f>
        <v/>
      </c>
      <c r="P215" s="231"/>
      <c r="Q215" s="232"/>
      <c r="R215" s="231" t="str">
        <f>IFERROR(1-(SUMIF('Grid BD'!$B:$B,$A215,'Grid BD'!$AD:$AD)/($AA215+SUMIF('Grid BD'!$B:$B,$A215,'Grid BD'!AD:AD))),"")</f>
        <v/>
      </c>
      <c r="S215" s="6"/>
      <c r="T215" s="232"/>
      <c r="U215" s="233" t="str">
        <f t="shared" si="17"/>
        <v/>
      </c>
      <c r="V215" s="233"/>
      <c r="W215" s="234" t="str">
        <f t="shared" si="15"/>
        <v/>
      </c>
      <c r="X215" s="227" t="str">
        <f>IFERROR(_xlfn.XLOOKUP($A215,'Raw Data'!$A:$A,'Raw Data'!$BA:$BA),"")</f>
        <v/>
      </c>
      <c r="Y215" s="227" t="str">
        <f>IFERROR(_xlfn.XLOOKUP($A215,'Raw Data'!$A:$A,'Raw Data'!BJ:BJ),"")</f>
        <v/>
      </c>
      <c r="Z215" s="227" t="str">
        <f>IFERROR(_xlfn.XLOOKUP($A215,'Raw Data'!$A:$A,'Raw Data'!BK:BK),"")</f>
        <v/>
      </c>
      <c r="AA215" s="227" t="str">
        <f>IFERROR(_xlfn.XLOOKUP($A215,'Raw Data'!$A:$A,'Raw Data'!BL:BL),"")</f>
        <v/>
      </c>
      <c r="AB215" s="227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27">
        <f>IFERROR(_xlfn.XLOOKUP($D215,'Modelling New'!$D:$D,'Modelling New'!$T:$T)*1000,"")</f>
        <v>108757.04807292875</v>
      </c>
      <c r="AE215" s="234">
        <f>IFERROR(_xlfn.XLOOKUP($D215,'Modelling New'!$D:$D,'Modelling New'!$O:$O),"")</f>
        <v>0.74145302903300359</v>
      </c>
      <c r="AF215" s="234">
        <f>IFERROR(_xlfn.XLOOKUP($D215,'Modelling New'!$D:$D,'Modelling New'!$W:$W),"")</f>
        <v>0.18645949157536959</v>
      </c>
      <c r="AG215" s="234">
        <f>IFERROR(_xlfn.XLOOKUP($D215,'Modelling New'!$D:$D,'Modelling New'!AE:AE),"")</f>
        <v>0.995</v>
      </c>
      <c r="AH215" s="234">
        <v>0.99750000000000005</v>
      </c>
      <c r="AI215" s="6"/>
      <c r="AJ215" s="6"/>
      <c r="AK215" s="6"/>
      <c r="AL215" s="6"/>
      <c r="AM215" s="6"/>
      <c r="AN215" s="231"/>
      <c r="AO215" s="234"/>
      <c r="AP215" s="234"/>
      <c r="AQ215" s="234"/>
      <c r="AR215" s="227">
        <f>IFERROR(_xlfn.XLOOKUP($D215,'Modelling New'!$D:$D,'Modelling New'!$N:$N),"")</f>
        <v>24.303100000000001</v>
      </c>
      <c r="AS215" s="227"/>
    </row>
    <row r="216" spans="1:45" x14ac:dyDescent="0.35">
      <c r="A216" s="226">
        <f t="shared" si="18"/>
        <v>45959</v>
      </c>
      <c r="B216" s="227">
        <f>YEAR(Daily_KPI[[#This Row],[Date]])+IF(MONTH(Daily_KPI[[#This Row],[Date]])&gt;=4,1,0)</f>
        <v>2026</v>
      </c>
      <c r="C216" s="6">
        <f>YEAR(Daily_KPI[[#This Row],[Date]])</f>
        <v>2025</v>
      </c>
      <c r="D216" s="228">
        <f>Daily_KPI[[#This Row],[Date]]-DAY(Daily_KPI[[#This Row],[Date]])+1</f>
        <v>45931</v>
      </c>
      <c r="E216" s="6">
        <f t="shared" si="16"/>
        <v>31</v>
      </c>
      <c r="F216" s="229" t="str">
        <f>IFERROR(_xlfn.XLOOKUP($A216,'Raw Data'!$A:$A,'Raw Data'!$BR:$BR),"")</f>
        <v/>
      </c>
      <c r="G216" s="230" t="str">
        <f>IFERROR(_xlfn.XLOOKUP($A216,'Raw Data'!$A:$A,'Raw Data'!$AO:$AO),"")</f>
        <v/>
      </c>
      <c r="H216" s="230"/>
      <c r="I216" s="230" t="str">
        <f>IFERROR(_xlfn.XLOOKUP($A216,'Raw Data'!$A:$A,'Raw Data'!$AR:$AR),"")</f>
        <v/>
      </c>
      <c r="J216" s="230"/>
      <c r="K216" s="230" t="str">
        <f>IFERROR(_xlfn.XLOOKUP($A216,'Raw Data'!$A:$A,'Raw Data'!$AV:$AV),"")</f>
        <v/>
      </c>
      <c r="L216" s="230" t="str">
        <f>IFERROR(_xlfn.XLOOKUP($A216,'Raw Data'!$A:$A,'Raw Data'!$AW:$AW),"")</f>
        <v/>
      </c>
      <c r="M216" s="230" t="str">
        <f>IFERROR(_xlfn.XLOOKUP($A216,'Raw Data'!$A:$A,'Raw Data'!$AX:$AX),"")</f>
        <v/>
      </c>
      <c r="N216" s="230" t="str">
        <f>IFERROR(_xlfn.XLOOKUP($A216,'Raw Data'!$A:$A,'Raw Data'!$AY:$AY),"")</f>
        <v/>
      </c>
      <c r="O216" s="231" t="str">
        <f>IFERROR(1-(SUMIF('Plant BD'!$B:$B,A216,'Plant BD'!$AE:$AE)/(AA216+SUMIF('Plant BD'!$B:$B,A216,'Plant BD'!$AE:$AE))),"")</f>
        <v/>
      </c>
      <c r="P216" s="231"/>
      <c r="Q216" s="232"/>
      <c r="R216" s="231" t="str">
        <f>IFERROR(1-(SUMIF('Grid BD'!$B:$B,$A216,'Grid BD'!$AD:$AD)/($AA216+SUMIF('Grid BD'!$B:$B,$A216,'Grid BD'!AD:AD))),"")</f>
        <v/>
      </c>
      <c r="S216" s="6"/>
      <c r="T216" s="232"/>
      <c r="U216" s="233" t="str">
        <f t="shared" si="17"/>
        <v/>
      </c>
      <c r="V216" s="233"/>
      <c r="W216" s="234" t="str">
        <f t="shared" si="15"/>
        <v/>
      </c>
      <c r="X216" s="227" t="str">
        <f>IFERROR(_xlfn.XLOOKUP($A216,'Raw Data'!$A:$A,'Raw Data'!$BA:$BA),"")</f>
        <v/>
      </c>
      <c r="Y216" s="227" t="str">
        <f>IFERROR(_xlfn.XLOOKUP($A216,'Raw Data'!$A:$A,'Raw Data'!BJ:BJ),"")</f>
        <v/>
      </c>
      <c r="Z216" s="227" t="str">
        <f>IFERROR(_xlfn.XLOOKUP($A216,'Raw Data'!$A:$A,'Raw Data'!BK:BK),"")</f>
        <v/>
      </c>
      <c r="AA216" s="227" t="str">
        <f>IFERROR(_xlfn.XLOOKUP($A216,'Raw Data'!$A:$A,'Raw Data'!BL:BL),"")</f>
        <v/>
      </c>
      <c r="AB216" s="227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27">
        <f>IFERROR(_xlfn.XLOOKUP($D216,'Modelling New'!$D:$D,'Modelling New'!$T:$T)*1000,"")</f>
        <v>108757.04807292875</v>
      </c>
      <c r="AE216" s="234">
        <f>IFERROR(_xlfn.XLOOKUP($D216,'Modelling New'!$D:$D,'Modelling New'!$O:$O),"")</f>
        <v>0.74145302903300359</v>
      </c>
      <c r="AF216" s="234">
        <f>IFERROR(_xlfn.XLOOKUP($D216,'Modelling New'!$D:$D,'Modelling New'!$W:$W),"")</f>
        <v>0.18645949157536959</v>
      </c>
      <c r="AG216" s="234">
        <f>IFERROR(_xlfn.XLOOKUP($D216,'Modelling New'!$D:$D,'Modelling New'!AE:AE),"")</f>
        <v>0.995</v>
      </c>
      <c r="AH216" s="234">
        <v>0.99750000000000005</v>
      </c>
      <c r="AI216" s="6"/>
      <c r="AJ216" s="6"/>
      <c r="AK216" s="6"/>
      <c r="AL216" s="6"/>
      <c r="AM216" s="6"/>
      <c r="AN216" s="231"/>
      <c r="AO216" s="234"/>
      <c r="AP216" s="234"/>
      <c r="AQ216" s="234"/>
      <c r="AR216" s="227">
        <f>IFERROR(_xlfn.XLOOKUP($D216,'Modelling New'!$D:$D,'Modelling New'!$N:$N),"")</f>
        <v>24.303100000000001</v>
      </c>
      <c r="AS216" s="227"/>
    </row>
    <row r="217" spans="1:45" x14ac:dyDescent="0.35">
      <c r="A217" s="226">
        <f t="shared" si="18"/>
        <v>45960</v>
      </c>
      <c r="B217" s="227">
        <f>YEAR(Daily_KPI[[#This Row],[Date]])+IF(MONTH(Daily_KPI[[#This Row],[Date]])&gt;=4,1,0)</f>
        <v>2026</v>
      </c>
      <c r="C217" s="6">
        <f>YEAR(Daily_KPI[[#This Row],[Date]])</f>
        <v>2025</v>
      </c>
      <c r="D217" s="228">
        <f>Daily_KPI[[#This Row],[Date]]-DAY(Daily_KPI[[#This Row],[Date]])+1</f>
        <v>45931</v>
      </c>
      <c r="E217" s="6">
        <f t="shared" si="16"/>
        <v>31</v>
      </c>
      <c r="F217" s="229" t="str">
        <f>IFERROR(_xlfn.XLOOKUP($A217,'Raw Data'!$A:$A,'Raw Data'!$BR:$BR),"")</f>
        <v/>
      </c>
      <c r="G217" s="230" t="str">
        <f>IFERROR(_xlfn.XLOOKUP($A217,'Raw Data'!$A:$A,'Raw Data'!$AO:$AO),"")</f>
        <v/>
      </c>
      <c r="H217" s="230"/>
      <c r="I217" s="230" t="str">
        <f>IFERROR(_xlfn.XLOOKUP($A217,'Raw Data'!$A:$A,'Raw Data'!$AR:$AR),"")</f>
        <v/>
      </c>
      <c r="J217" s="230"/>
      <c r="K217" s="230" t="str">
        <f>IFERROR(_xlfn.XLOOKUP($A217,'Raw Data'!$A:$A,'Raw Data'!$AV:$AV),"")</f>
        <v/>
      </c>
      <c r="L217" s="230" t="str">
        <f>IFERROR(_xlfn.XLOOKUP($A217,'Raw Data'!$A:$A,'Raw Data'!$AW:$AW),"")</f>
        <v/>
      </c>
      <c r="M217" s="230" t="str">
        <f>IFERROR(_xlfn.XLOOKUP($A217,'Raw Data'!$A:$A,'Raw Data'!$AX:$AX),"")</f>
        <v/>
      </c>
      <c r="N217" s="230" t="str">
        <f>IFERROR(_xlfn.XLOOKUP($A217,'Raw Data'!$A:$A,'Raw Data'!$AY:$AY),"")</f>
        <v/>
      </c>
      <c r="O217" s="231" t="str">
        <f>IFERROR(1-(SUMIF('Plant BD'!$B:$B,A217,'Plant BD'!$AE:$AE)/(AA217+SUMIF('Plant BD'!$B:$B,A217,'Plant BD'!$AE:$AE))),"")</f>
        <v/>
      </c>
      <c r="P217" s="231"/>
      <c r="Q217" s="232"/>
      <c r="R217" s="231" t="str">
        <f>IFERROR(1-(SUMIF('Grid BD'!$B:$B,$A217,'Grid BD'!$AD:$AD)/($AA217+SUMIF('Grid BD'!$B:$B,$A217,'Grid BD'!AD:AD))),"")</f>
        <v/>
      </c>
      <c r="S217" s="6"/>
      <c r="T217" s="232"/>
      <c r="U217" s="233" t="str">
        <f t="shared" si="17"/>
        <v/>
      </c>
      <c r="V217" s="233"/>
      <c r="W217" s="234" t="str">
        <f t="shared" si="15"/>
        <v/>
      </c>
      <c r="X217" s="227" t="str">
        <f>IFERROR(_xlfn.XLOOKUP($A217,'Raw Data'!$A:$A,'Raw Data'!$BA:$BA),"")</f>
        <v/>
      </c>
      <c r="Y217" s="227" t="str">
        <f>IFERROR(_xlfn.XLOOKUP($A217,'Raw Data'!$A:$A,'Raw Data'!BJ:BJ),"")</f>
        <v/>
      </c>
      <c r="Z217" s="227" t="str">
        <f>IFERROR(_xlfn.XLOOKUP($A217,'Raw Data'!$A:$A,'Raw Data'!BK:BK),"")</f>
        <v/>
      </c>
      <c r="AA217" s="227" t="str">
        <f>IFERROR(_xlfn.XLOOKUP($A217,'Raw Data'!$A:$A,'Raw Data'!BL:BL),"")</f>
        <v/>
      </c>
      <c r="AB217" s="227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27">
        <f>IFERROR(_xlfn.XLOOKUP($D217,'Modelling New'!$D:$D,'Modelling New'!$T:$T)*1000,"")</f>
        <v>108757.04807292875</v>
      </c>
      <c r="AE217" s="234">
        <f>IFERROR(_xlfn.XLOOKUP($D217,'Modelling New'!$D:$D,'Modelling New'!$O:$O),"")</f>
        <v>0.74145302903300359</v>
      </c>
      <c r="AF217" s="234">
        <f>IFERROR(_xlfn.XLOOKUP($D217,'Modelling New'!$D:$D,'Modelling New'!$W:$W),"")</f>
        <v>0.18645949157536959</v>
      </c>
      <c r="AG217" s="234">
        <f>IFERROR(_xlfn.XLOOKUP($D217,'Modelling New'!$D:$D,'Modelling New'!AE:AE),"")</f>
        <v>0.995</v>
      </c>
      <c r="AH217" s="234">
        <v>0.99750000000000005</v>
      </c>
      <c r="AI217" s="6"/>
      <c r="AJ217" s="6"/>
      <c r="AK217" s="6"/>
      <c r="AL217" s="6"/>
      <c r="AM217" s="6"/>
      <c r="AN217" s="231"/>
      <c r="AO217" s="234"/>
      <c r="AP217" s="234"/>
      <c r="AQ217" s="234"/>
      <c r="AR217" s="227">
        <f>IFERROR(_xlfn.XLOOKUP($D217,'Modelling New'!$D:$D,'Modelling New'!$N:$N),"")</f>
        <v>24.303100000000001</v>
      </c>
      <c r="AS217" s="227"/>
    </row>
    <row r="218" spans="1:45" x14ac:dyDescent="0.35">
      <c r="A218" s="226">
        <f t="shared" si="18"/>
        <v>45961</v>
      </c>
      <c r="B218" s="227">
        <f>YEAR(Daily_KPI[[#This Row],[Date]])+IF(MONTH(Daily_KPI[[#This Row],[Date]])&gt;=4,1,0)</f>
        <v>2026</v>
      </c>
      <c r="C218" s="6">
        <f>YEAR(Daily_KPI[[#This Row],[Date]])</f>
        <v>2025</v>
      </c>
      <c r="D218" s="228">
        <f>Daily_KPI[[#This Row],[Date]]-DAY(Daily_KPI[[#This Row],[Date]])+1</f>
        <v>45931</v>
      </c>
      <c r="E218" s="6">
        <f t="shared" si="16"/>
        <v>31</v>
      </c>
      <c r="F218" s="229" t="str">
        <f>IFERROR(_xlfn.XLOOKUP($A218,'Raw Data'!$A:$A,'Raw Data'!$BR:$BR),"")</f>
        <v/>
      </c>
      <c r="G218" s="230" t="str">
        <f>IFERROR(_xlfn.XLOOKUP($A218,'Raw Data'!$A:$A,'Raw Data'!$AO:$AO),"")</f>
        <v/>
      </c>
      <c r="H218" s="230"/>
      <c r="I218" s="230" t="str">
        <f>IFERROR(_xlfn.XLOOKUP($A218,'Raw Data'!$A:$A,'Raw Data'!$AR:$AR),"")</f>
        <v/>
      </c>
      <c r="J218" s="230"/>
      <c r="K218" s="230" t="str">
        <f>IFERROR(_xlfn.XLOOKUP($A218,'Raw Data'!$A:$A,'Raw Data'!$AV:$AV),"")</f>
        <v/>
      </c>
      <c r="L218" s="230" t="str">
        <f>IFERROR(_xlfn.XLOOKUP($A218,'Raw Data'!$A:$A,'Raw Data'!$AW:$AW),"")</f>
        <v/>
      </c>
      <c r="M218" s="230" t="str">
        <f>IFERROR(_xlfn.XLOOKUP($A218,'Raw Data'!$A:$A,'Raw Data'!$AX:$AX),"")</f>
        <v/>
      </c>
      <c r="N218" s="230" t="str">
        <f>IFERROR(_xlfn.XLOOKUP($A218,'Raw Data'!$A:$A,'Raw Data'!$AY:$AY),"")</f>
        <v/>
      </c>
      <c r="O218" s="231" t="str">
        <f>IFERROR(1-(SUMIF('Plant BD'!$B:$B,A218,'Plant BD'!$AE:$AE)/(AA218+SUMIF('Plant BD'!$B:$B,A218,'Plant BD'!$AE:$AE))),"")</f>
        <v/>
      </c>
      <c r="P218" s="231"/>
      <c r="Q218" s="232"/>
      <c r="R218" s="231" t="str">
        <f>IFERROR(1-(SUMIF('Grid BD'!$B:$B,$A218,'Grid BD'!$AD:$AD)/($AA218+SUMIF('Grid BD'!$B:$B,$A218,'Grid BD'!AD:AD))),"")</f>
        <v/>
      </c>
      <c r="S218" s="6"/>
      <c r="T218" s="232"/>
      <c r="U218" s="233" t="str">
        <f t="shared" si="17"/>
        <v/>
      </c>
      <c r="V218" s="233"/>
      <c r="W218" s="234" t="str">
        <f t="shared" si="15"/>
        <v/>
      </c>
      <c r="X218" s="227" t="str">
        <f>IFERROR(_xlfn.XLOOKUP($A218,'Raw Data'!$A:$A,'Raw Data'!$BA:$BA),"")</f>
        <v/>
      </c>
      <c r="Y218" s="227" t="str">
        <f>IFERROR(_xlfn.XLOOKUP($A218,'Raw Data'!$A:$A,'Raw Data'!BJ:BJ),"")</f>
        <v/>
      </c>
      <c r="Z218" s="227" t="str">
        <f>IFERROR(_xlfn.XLOOKUP($A218,'Raw Data'!$A:$A,'Raw Data'!BK:BK),"")</f>
        <v/>
      </c>
      <c r="AA218" s="227" t="str">
        <f>IFERROR(_xlfn.XLOOKUP($A218,'Raw Data'!$A:$A,'Raw Data'!BL:BL),"")</f>
        <v/>
      </c>
      <c r="AB218" s="227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27">
        <f>IFERROR(_xlfn.XLOOKUP($D218,'Modelling New'!$D:$D,'Modelling New'!$T:$T)*1000,"")</f>
        <v>108757.04807292875</v>
      </c>
      <c r="AE218" s="234">
        <f>IFERROR(_xlfn.XLOOKUP($D218,'Modelling New'!$D:$D,'Modelling New'!$O:$O),"")</f>
        <v>0.74145302903300359</v>
      </c>
      <c r="AF218" s="234">
        <f>IFERROR(_xlfn.XLOOKUP($D218,'Modelling New'!$D:$D,'Modelling New'!$W:$W),"")</f>
        <v>0.18645949157536959</v>
      </c>
      <c r="AG218" s="234">
        <f>IFERROR(_xlfn.XLOOKUP($D218,'Modelling New'!$D:$D,'Modelling New'!AE:AE),"")</f>
        <v>0.995</v>
      </c>
      <c r="AH218" s="234">
        <v>0.99750000000000005</v>
      </c>
      <c r="AI218" s="6"/>
      <c r="AJ218" s="6"/>
      <c r="AK218" s="6"/>
      <c r="AL218" s="6"/>
      <c r="AM218" s="6"/>
      <c r="AN218" s="231"/>
      <c r="AO218" s="234"/>
      <c r="AP218" s="234"/>
      <c r="AQ218" s="234"/>
      <c r="AR218" s="227">
        <f>IFERROR(_xlfn.XLOOKUP($D218,'Modelling New'!$D:$D,'Modelling New'!$N:$N),"")</f>
        <v>24.303100000000001</v>
      </c>
      <c r="AS218" s="227"/>
    </row>
    <row r="219" spans="1:45" x14ac:dyDescent="0.35">
      <c r="A219" s="226">
        <f t="shared" si="18"/>
        <v>45962</v>
      </c>
      <c r="B219" s="227">
        <f>YEAR(Daily_KPI[[#This Row],[Date]])+IF(MONTH(Daily_KPI[[#This Row],[Date]])&gt;=4,1,0)</f>
        <v>2026</v>
      </c>
      <c r="C219" s="6">
        <f>YEAR(Daily_KPI[[#This Row],[Date]])</f>
        <v>2025</v>
      </c>
      <c r="D219" s="228">
        <f>Daily_KPI[[#This Row],[Date]]-DAY(Daily_KPI[[#This Row],[Date]])+1</f>
        <v>45962</v>
      </c>
      <c r="E219" s="6">
        <f t="shared" si="16"/>
        <v>30</v>
      </c>
      <c r="F219" s="229" t="str">
        <f>IFERROR(_xlfn.XLOOKUP($A219,'Raw Data'!$A:$A,'Raw Data'!$BR:$BR),"")</f>
        <v/>
      </c>
      <c r="G219" s="230" t="str">
        <f>IFERROR(_xlfn.XLOOKUP($A219,'Raw Data'!$A:$A,'Raw Data'!$AO:$AO),"")</f>
        <v/>
      </c>
      <c r="H219" s="230"/>
      <c r="I219" s="230" t="str">
        <f>IFERROR(_xlfn.XLOOKUP($A219,'Raw Data'!$A:$A,'Raw Data'!$AR:$AR),"")</f>
        <v/>
      </c>
      <c r="J219" s="230"/>
      <c r="K219" s="230" t="str">
        <f>IFERROR(_xlfn.XLOOKUP($A219,'Raw Data'!$A:$A,'Raw Data'!$AV:$AV),"")</f>
        <v/>
      </c>
      <c r="L219" s="230" t="str">
        <f>IFERROR(_xlfn.XLOOKUP($A219,'Raw Data'!$A:$A,'Raw Data'!$AW:$AW),"")</f>
        <v/>
      </c>
      <c r="M219" s="230" t="str">
        <f>IFERROR(_xlfn.XLOOKUP($A219,'Raw Data'!$A:$A,'Raw Data'!$AX:$AX),"")</f>
        <v/>
      </c>
      <c r="N219" s="230" t="str">
        <f>IFERROR(_xlfn.XLOOKUP($A219,'Raw Data'!$A:$A,'Raw Data'!$AY:$AY),"")</f>
        <v/>
      </c>
      <c r="O219" s="231" t="str">
        <f>IFERROR(1-(SUMIF('Plant BD'!$B:$B,A219,'Plant BD'!$AE:$AE)/(AA219+SUMIF('Plant BD'!$B:$B,A219,'Plant BD'!$AE:$AE))),"")</f>
        <v/>
      </c>
      <c r="P219" s="231"/>
      <c r="Q219" s="232"/>
      <c r="R219" s="231" t="str">
        <f>IFERROR(1-(SUMIF('Grid BD'!$B:$B,$A219,'Grid BD'!$AD:$AD)/($AA219+SUMIF('Grid BD'!$B:$B,$A219,'Grid BD'!AD:AD))),"")</f>
        <v/>
      </c>
      <c r="S219" s="6"/>
      <c r="T219" s="232"/>
      <c r="U219" s="233" t="str">
        <f t="shared" si="17"/>
        <v/>
      </c>
      <c r="V219" s="233"/>
      <c r="W219" s="234" t="str">
        <f t="shared" si="15"/>
        <v/>
      </c>
      <c r="X219" s="227" t="str">
        <f>IFERROR(_xlfn.XLOOKUP($A219,'Raw Data'!$A:$A,'Raw Data'!$BA:$BA),"")</f>
        <v/>
      </c>
      <c r="Y219" s="227" t="str">
        <f>IFERROR(_xlfn.XLOOKUP($A219,'Raw Data'!$A:$A,'Raw Data'!BJ:BJ),"")</f>
        <v/>
      </c>
      <c r="Z219" s="227" t="str">
        <f>IFERROR(_xlfn.XLOOKUP($A219,'Raw Data'!$A:$A,'Raw Data'!BK:BK),"")</f>
        <v/>
      </c>
      <c r="AA219" s="227" t="str">
        <f>IFERROR(_xlfn.XLOOKUP($A219,'Raw Data'!$A:$A,'Raw Data'!BL:BL),"")</f>
        <v/>
      </c>
      <c r="AB219" s="227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27">
        <f>IFERROR(_xlfn.XLOOKUP($D219,'Modelling New'!$D:$D,'Modelling New'!$T:$T)*1000,"")</f>
        <v>110013.10061975369</v>
      </c>
      <c r="AE219" s="234">
        <f>IFERROR(_xlfn.XLOOKUP($D219,'Modelling New'!$D:$D,'Modelling New'!$O:$O),"")</f>
        <v>0.70582805765293155</v>
      </c>
      <c r="AF219" s="234">
        <f>IFERROR(_xlfn.XLOOKUP($D219,'Modelling New'!$D:$D,'Modelling New'!$W:$W),"")</f>
        <v>0.18861294207281115</v>
      </c>
      <c r="AG219" s="234">
        <f>IFERROR(_xlfn.XLOOKUP($D219,'Modelling New'!$D:$D,'Modelling New'!AE:AE),"")</f>
        <v>0.995</v>
      </c>
      <c r="AH219" s="234">
        <v>0.99750000000000005</v>
      </c>
      <c r="AI219" s="6"/>
      <c r="AJ219" s="6"/>
      <c r="AK219" s="6"/>
      <c r="AL219" s="6"/>
      <c r="AM219" s="6"/>
      <c r="AN219" s="231"/>
      <c r="AO219" s="234"/>
      <c r="AP219" s="234"/>
      <c r="AQ219" s="234"/>
      <c r="AR219" s="227">
        <f>IFERROR(_xlfn.XLOOKUP($D219,'Modelling New'!$D:$D,'Modelling New'!$N:$N),"")</f>
        <v>24.303100000000001</v>
      </c>
      <c r="AS219" s="227"/>
    </row>
    <row r="220" spans="1:45" x14ac:dyDescent="0.35">
      <c r="A220" s="226">
        <f t="shared" si="18"/>
        <v>45963</v>
      </c>
      <c r="B220" s="227">
        <f>YEAR(Daily_KPI[[#This Row],[Date]])+IF(MONTH(Daily_KPI[[#This Row],[Date]])&gt;=4,1,0)</f>
        <v>2026</v>
      </c>
      <c r="C220" s="6">
        <f>YEAR(Daily_KPI[[#This Row],[Date]])</f>
        <v>2025</v>
      </c>
      <c r="D220" s="228">
        <f>Daily_KPI[[#This Row],[Date]]-DAY(Daily_KPI[[#This Row],[Date]])+1</f>
        <v>45962</v>
      </c>
      <c r="E220" s="6">
        <f t="shared" si="16"/>
        <v>30</v>
      </c>
      <c r="F220" s="229" t="str">
        <f>IFERROR(_xlfn.XLOOKUP($A220,'Raw Data'!$A:$A,'Raw Data'!$BR:$BR),"")</f>
        <v/>
      </c>
      <c r="G220" s="230" t="str">
        <f>IFERROR(_xlfn.XLOOKUP($A220,'Raw Data'!$A:$A,'Raw Data'!$AO:$AO),"")</f>
        <v/>
      </c>
      <c r="H220" s="230"/>
      <c r="I220" s="230" t="str">
        <f>IFERROR(_xlfn.XLOOKUP($A220,'Raw Data'!$A:$A,'Raw Data'!$AR:$AR),"")</f>
        <v/>
      </c>
      <c r="J220" s="230"/>
      <c r="K220" s="230" t="str">
        <f>IFERROR(_xlfn.XLOOKUP($A220,'Raw Data'!$A:$A,'Raw Data'!$AV:$AV),"")</f>
        <v/>
      </c>
      <c r="L220" s="230" t="str">
        <f>IFERROR(_xlfn.XLOOKUP($A220,'Raw Data'!$A:$A,'Raw Data'!$AW:$AW),"")</f>
        <v/>
      </c>
      <c r="M220" s="230" t="str">
        <f>IFERROR(_xlfn.XLOOKUP($A220,'Raw Data'!$A:$A,'Raw Data'!$AX:$AX),"")</f>
        <v/>
      </c>
      <c r="N220" s="230" t="str">
        <f>IFERROR(_xlfn.XLOOKUP($A220,'Raw Data'!$A:$A,'Raw Data'!$AY:$AY),"")</f>
        <v/>
      </c>
      <c r="O220" s="231" t="str">
        <f>IFERROR(1-(SUMIF('Plant BD'!$B:$B,A220,'Plant BD'!$AE:$AE)/(AA220+SUMIF('Plant BD'!$B:$B,A220,'Plant BD'!$AE:$AE))),"")</f>
        <v/>
      </c>
      <c r="P220" s="231"/>
      <c r="Q220" s="232"/>
      <c r="R220" s="231" t="str">
        <f>IFERROR(1-(SUMIF('Grid BD'!$B:$B,$A220,'Grid BD'!$AD:$AD)/($AA220+SUMIF('Grid BD'!$B:$B,$A220,'Grid BD'!AD:AD))),"")</f>
        <v/>
      </c>
      <c r="S220" s="6"/>
      <c r="T220" s="232"/>
      <c r="U220" s="233" t="str">
        <f t="shared" si="17"/>
        <v/>
      </c>
      <c r="V220" s="233"/>
      <c r="W220" s="234" t="str">
        <f t="shared" si="15"/>
        <v/>
      </c>
      <c r="X220" s="227" t="str">
        <f>IFERROR(_xlfn.XLOOKUP($A220,'Raw Data'!$A:$A,'Raw Data'!$BA:$BA),"")</f>
        <v/>
      </c>
      <c r="Y220" s="227" t="str">
        <f>IFERROR(_xlfn.XLOOKUP($A220,'Raw Data'!$A:$A,'Raw Data'!BJ:BJ),"")</f>
        <v/>
      </c>
      <c r="Z220" s="227" t="str">
        <f>IFERROR(_xlfn.XLOOKUP($A220,'Raw Data'!$A:$A,'Raw Data'!BK:BK),"")</f>
        <v/>
      </c>
      <c r="AA220" s="227" t="str">
        <f>IFERROR(_xlfn.XLOOKUP($A220,'Raw Data'!$A:$A,'Raw Data'!BL:BL),"")</f>
        <v/>
      </c>
      <c r="AB220" s="227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27">
        <f>IFERROR(_xlfn.XLOOKUP($D220,'Modelling New'!$D:$D,'Modelling New'!$T:$T)*1000,"")</f>
        <v>110013.10061975369</v>
      </c>
      <c r="AE220" s="234">
        <f>IFERROR(_xlfn.XLOOKUP($D220,'Modelling New'!$D:$D,'Modelling New'!$O:$O),"")</f>
        <v>0.70582805765293155</v>
      </c>
      <c r="AF220" s="234">
        <f>IFERROR(_xlfn.XLOOKUP($D220,'Modelling New'!$D:$D,'Modelling New'!$W:$W),"")</f>
        <v>0.18861294207281115</v>
      </c>
      <c r="AG220" s="234">
        <f>IFERROR(_xlfn.XLOOKUP($D220,'Modelling New'!$D:$D,'Modelling New'!AE:AE),"")</f>
        <v>0.995</v>
      </c>
      <c r="AH220" s="234">
        <v>0.99750000000000005</v>
      </c>
      <c r="AI220" s="6"/>
      <c r="AJ220" s="6"/>
      <c r="AK220" s="6"/>
      <c r="AL220" s="6"/>
      <c r="AM220" s="6"/>
      <c r="AN220" s="231"/>
      <c r="AO220" s="234"/>
      <c r="AP220" s="234"/>
      <c r="AQ220" s="234"/>
      <c r="AR220" s="227">
        <f>IFERROR(_xlfn.XLOOKUP($D220,'Modelling New'!$D:$D,'Modelling New'!$N:$N),"")</f>
        <v>24.303100000000001</v>
      </c>
      <c r="AS220" s="227"/>
    </row>
    <row r="221" spans="1:45" x14ac:dyDescent="0.35">
      <c r="A221" s="226">
        <f t="shared" si="18"/>
        <v>45964</v>
      </c>
      <c r="B221" s="227">
        <f>YEAR(Daily_KPI[[#This Row],[Date]])+IF(MONTH(Daily_KPI[[#This Row],[Date]])&gt;=4,1,0)</f>
        <v>2026</v>
      </c>
      <c r="C221" s="6">
        <f>YEAR(Daily_KPI[[#This Row],[Date]])</f>
        <v>2025</v>
      </c>
      <c r="D221" s="228">
        <f>Daily_KPI[[#This Row],[Date]]-DAY(Daily_KPI[[#This Row],[Date]])+1</f>
        <v>45962</v>
      </c>
      <c r="E221" s="6">
        <f t="shared" si="16"/>
        <v>30</v>
      </c>
      <c r="F221" s="229" t="str">
        <f>IFERROR(_xlfn.XLOOKUP($A221,'Raw Data'!$A:$A,'Raw Data'!$BR:$BR),"")</f>
        <v/>
      </c>
      <c r="G221" s="230" t="str">
        <f>IFERROR(_xlfn.XLOOKUP($A221,'Raw Data'!$A:$A,'Raw Data'!$AO:$AO),"")</f>
        <v/>
      </c>
      <c r="H221" s="230"/>
      <c r="I221" s="230" t="str">
        <f>IFERROR(_xlfn.XLOOKUP($A221,'Raw Data'!$A:$A,'Raw Data'!$AR:$AR),"")</f>
        <v/>
      </c>
      <c r="J221" s="230"/>
      <c r="K221" s="230" t="str">
        <f>IFERROR(_xlfn.XLOOKUP($A221,'Raw Data'!$A:$A,'Raw Data'!$AV:$AV),"")</f>
        <v/>
      </c>
      <c r="L221" s="230" t="str">
        <f>IFERROR(_xlfn.XLOOKUP($A221,'Raw Data'!$A:$A,'Raw Data'!$AW:$AW),"")</f>
        <v/>
      </c>
      <c r="M221" s="230" t="str">
        <f>IFERROR(_xlfn.XLOOKUP($A221,'Raw Data'!$A:$A,'Raw Data'!$AX:$AX),"")</f>
        <v/>
      </c>
      <c r="N221" s="230" t="str">
        <f>IFERROR(_xlfn.XLOOKUP($A221,'Raw Data'!$A:$A,'Raw Data'!$AY:$AY),"")</f>
        <v/>
      </c>
      <c r="O221" s="231" t="str">
        <f>IFERROR(1-(SUMIF('Plant BD'!$B:$B,A221,'Plant BD'!$AE:$AE)/(AA221+SUMIF('Plant BD'!$B:$B,A221,'Plant BD'!$AE:$AE))),"")</f>
        <v/>
      </c>
      <c r="P221" s="231"/>
      <c r="Q221" s="232"/>
      <c r="R221" s="231" t="str">
        <f>IFERROR(1-(SUMIF('Grid BD'!$B:$B,$A221,'Grid BD'!$AD:$AD)/($AA221+SUMIF('Grid BD'!$B:$B,$A221,'Grid BD'!AD:AD))),"")</f>
        <v/>
      </c>
      <c r="S221" s="6"/>
      <c r="T221" s="232"/>
      <c r="U221" s="233" t="str">
        <f t="shared" si="17"/>
        <v/>
      </c>
      <c r="V221" s="233"/>
      <c r="W221" s="234" t="str">
        <f t="shared" si="15"/>
        <v/>
      </c>
      <c r="X221" s="227" t="str">
        <f>IFERROR(_xlfn.XLOOKUP($A221,'Raw Data'!$A:$A,'Raw Data'!$BA:$BA),"")</f>
        <v/>
      </c>
      <c r="Y221" s="227" t="str">
        <f>IFERROR(_xlfn.XLOOKUP($A221,'Raw Data'!$A:$A,'Raw Data'!BJ:BJ),"")</f>
        <v/>
      </c>
      <c r="Z221" s="227" t="str">
        <f>IFERROR(_xlfn.XLOOKUP($A221,'Raw Data'!$A:$A,'Raw Data'!BK:BK),"")</f>
        <v/>
      </c>
      <c r="AA221" s="227" t="str">
        <f>IFERROR(_xlfn.XLOOKUP($A221,'Raw Data'!$A:$A,'Raw Data'!BL:BL),"")</f>
        <v/>
      </c>
      <c r="AB221" s="227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27">
        <f>IFERROR(_xlfn.XLOOKUP($D221,'Modelling New'!$D:$D,'Modelling New'!$T:$T)*1000,"")</f>
        <v>110013.10061975369</v>
      </c>
      <c r="AE221" s="234">
        <f>IFERROR(_xlfn.XLOOKUP($D221,'Modelling New'!$D:$D,'Modelling New'!$O:$O),"")</f>
        <v>0.70582805765293155</v>
      </c>
      <c r="AF221" s="234">
        <f>IFERROR(_xlfn.XLOOKUP($D221,'Modelling New'!$D:$D,'Modelling New'!$W:$W),"")</f>
        <v>0.18861294207281115</v>
      </c>
      <c r="AG221" s="234">
        <f>IFERROR(_xlfn.XLOOKUP($D221,'Modelling New'!$D:$D,'Modelling New'!AE:AE),"")</f>
        <v>0.995</v>
      </c>
      <c r="AH221" s="234">
        <v>0.99750000000000005</v>
      </c>
      <c r="AI221" s="6"/>
      <c r="AJ221" s="6"/>
      <c r="AK221" s="6"/>
      <c r="AL221" s="6"/>
      <c r="AM221" s="6"/>
      <c r="AN221" s="231"/>
      <c r="AO221" s="234"/>
      <c r="AP221" s="234"/>
      <c r="AQ221" s="234"/>
      <c r="AR221" s="227">
        <f>IFERROR(_xlfn.XLOOKUP($D221,'Modelling New'!$D:$D,'Modelling New'!$N:$N),"")</f>
        <v>24.303100000000001</v>
      </c>
      <c r="AS221" s="227"/>
    </row>
    <row r="222" spans="1:45" x14ac:dyDescent="0.35">
      <c r="A222" s="226">
        <f t="shared" si="18"/>
        <v>45965</v>
      </c>
      <c r="B222" s="227">
        <f>YEAR(Daily_KPI[[#This Row],[Date]])+IF(MONTH(Daily_KPI[[#This Row],[Date]])&gt;=4,1,0)</f>
        <v>2026</v>
      </c>
      <c r="C222" s="6">
        <f>YEAR(Daily_KPI[[#This Row],[Date]])</f>
        <v>2025</v>
      </c>
      <c r="D222" s="228">
        <f>Daily_KPI[[#This Row],[Date]]-DAY(Daily_KPI[[#This Row],[Date]])+1</f>
        <v>45962</v>
      </c>
      <c r="E222" s="6">
        <f t="shared" si="16"/>
        <v>30</v>
      </c>
      <c r="F222" s="229" t="str">
        <f>IFERROR(_xlfn.XLOOKUP($A222,'Raw Data'!$A:$A,'Raw Data'!$BR:$BR),"")</f>
        <v/>
      </c>
      <c r="G222" s="230" t="str">
        <f>IFERROR(_xlfn.XLOOKUP($A222,'Raw Data'!$A:$A,'Raw Data'!$AO:$AO),"")</f>
        <v/>
      </c>
      <c r="H222" s="230"/>
      <c r="I222" s="230" t="str">
        <f>IFERROR(_xlfn.XLOOKUP($A222,'Raw Data'!$A:$A,'Raw Data'!$AR:$AR),"")</f>
        <v/>
      </c>
      <c r="J222" s="230"/>
      <c r="K222" s="230" t="str">
        <f>IFERROR(_xlfn.XLOOKUP($A222,'Raw Data'!$A:$A,'Raw Data'!$AV:$AV),"")</f>
        <v/>
      </c>
      <c r="L222" s="230" t="str">
        <f>IFERROR(_xlfn.XLOOKUP($A222,'Raw Data'!$A:$A,'Raw Data'!$AW:$AW),"")</f>
        <v/>
      </c>
      <c r="M222" s="230" t="str">
        <f>IFERROR(_xlfn.XLOOKUP($A222,'Raw Data'!$A:$A,'Raw Data'!$AX:$AX),"")</f>
        <v/>
      </c>
      <c r="N222" s="230" t="str">
        <f>IFERROR(_xlfn.XLOOKUP($A222,'Raw Data'!$A:$A,'Raw Data'!$AY:$AY),"")</f>
        <v/>
      </c>
      <c r="O222" s="231" t="str">
        <f>IFERROR(1-(SUMIF('Plant BD'!$B:$B,A222,'Plant BD'!$AE:$AE)/(AA222+SUMIF('Plant BD'!$B:$B,A222,'Plant BD'!$AE:$AE))),"")</f>
        <v/>
      </c>
      <c r="P222" s="231"/>
      <c r="Q222" s="232"/>
      <c r="R222" s="231" t="str">
        <f>IFERROR(1-(SUMIF('Grid BD'!$B:$B,$A222,'Grid BD'!$AD:$AD)/($AA222+SUMIF('Grid BD'!$B:$B,$A222,'Grid BD'!AD:AD))),"")</f>
        <v/>
      </c>
      <c r="S222" s="6"/>
      <c r="T222" s="232"/>
      <c r="U222" s="233" t="str">
        <f t="shared" si="17"/>
        <v/>
      </c>
      <c r="V222" s="233"/>
      <c r="W222" s="234" t="str">
        <f t="shared" si="15"/>
        <v/>
      </c>
      <c r="X222" s="227" t="str">
        <f>IFERROR(_xlfn.XLOOKUP($A222,'Raw Data'!$A:$A,'Raw Data'!$BA:$BA),"")</f>
        <v/>
      </c>
      <c r="Y222" s="227" t="str">
        <f>IFERROR(_xlfn.XLOOKUP($A222,'Raw Data'!$A:$A,'Raw Data'!BJ:BJ),"")</f>
        <v/>
      </c>
      <c r="Z222" s="227" t="str">
        <f>IFERROR(_xlfn.XLOOKUP($A222,'Raw Data'!$A:$A,'Raw Data'!BK:BK),"")</f>
        <v/>
      </c>
      <c r="AA222" s="227" t="str">
        <f>IFERROR(_xlfn.XLOOKUP($A222,'Raw Data'!$A:$A,'Raw Data'!BL:BL),"")</f>
        <v/>
      </c>
      <c r="AB222" s="227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27">
        <f>IFERROR(_xlfn.XLOOKUP($D222,'Modelling New'!$D:$D,'Modelling New'!$T:$T)*1000,"")</f>
        <v>110013.10061975369</v>
      </c>
      <c r="AE222" s="234">
        <f>IFERROR(_xlfn.XLOOKUP($D222,'Modelling New'!$D:$D,'Modelling New'!$O:$O),"")</f>
        <v>0.70582805765293155</v>
      </c>
      <c r="AF222" s="234">
        <f>IFERROR(_xlfn.XLOOKUP($D222,'Modelling New'!$D:$D,'Modelling New'!$W:$W),"")</f>
        <v>0.18861294207281115</v>
      </c>
      <c r="AG222" s="234">
        <f>IFERROR(_xlfn.XLOOKUP($D222,'Modelling New'!$D:$D,'Modelling New'!AE:AE),"")</f>
        <v>0.995</v>
      </c>
      <c r="AH222" s="234">
        <v>0.99750000000000005</v>
      </c>
      <c r="AI222" s="6"/>
      <c r="AJ222" s="6"/>
      <c r="AK222" s="6"/>
      <c r="AL222" s="6"/>
      <c r="AM222" s="6"/>
      <c r="AN222" s="231"/>
      <c r="AO222" s="234"/>
      <c r="AP222" s="234"/>
      <c r="AQ222" s="234"/>
      <c r="AR222" s="227">
        <f>IFERROR(_xlfn.XLOOKUP($D222,'Modelling New'!$D:$D,'Modelling New'!$N:$N),"")</f>
        <v>24.303100000000001</v>
      </c>
      <c r="AS222" s="227"/>
    </row>
    <row r="223" spans="1:45" x14ac:dyDescent="0.35">
      <c r="A223" s="226">
        <f t="shared" si="18"/>
        <v>45966</v>
      </c>
      <c r="B223" s="227">
        <f>YEAR(Daily_KPI[[#This Row],[Date]])+IF(MONTH(Daily_KPI[[#This Row],[Date]])&gt;=4,1,0)</f>
        <v>2026</v>
      </c>
      <c r="C223" s="6">
        <f>YEAR(Daily_KPI[[#This Row],[Date]])</f>
        <v>2025</v>
      </c>
      <c r="D223" s="228">
        <f>Daily_KPI[[#This Row],[Date]]-DAY(Daily_KPI[[#This Row],[Date]])+1</f>
        <v>45962</v>
      </c>
      <c r="E223" s="6">
        <f t="shared" si="16"/>
        <v>30</v>
      </c>
      <c r="F223" s="229" t="str">
        <f>IFERROR(_xlfn.XLOOKUP($A223,'Raw Data'!$A:$A,'Raw Data'!$BR:$BR),"")</f>
        <v/>
      </c>
      <c r="G223" s="230" t="str">
        <f>IFERROR(_xlfn.XLOOKUP($A223,'Raw Data'!$A:$A,'Raw Data'!$AO:$AO),"")</f>
        <v/>
      </c>
      <c r="H223" s="230"/>
      <c r="I223" s="230" t="str">
        <f>IFERROR(_xlfn.XLOOKUP($A223,'Raw Data'!$A:$A,'Raw Data'!$AR:$AR),"")</f>
        <v/>
      </c>
      <c r="J223" s="230"/>
      <c r="K223" s="230" t="str">
        <f>IFERROR(_xlfn.XLOOKUP($A223,'Raw Data'!$A:$A,'Raw Data'!$AV:$AV),"")</f>
        <v/>
      </c>
      <c r="L223" s="230" t="str">
        <f>IFERROR(_xlfn.XLOOKUP($A223,'Raw Data'!$A:$A,'Raw Data'!$AW:$AW),"")</f>
        <v/>
      </c>
      <c r="M223" s="230" t="str">
        <f>IFERROR(_xlfn.XLOOKUP($A223,'Raw Data'!$A:$A,'Raw Data'!$AX:$AX),"")</f>
        <v/>
      </c>
      <c r="N223" s="230" t="str">
        <f>IFERROR(_xlfn.XLOOKUP($A223,'Raw Data'!$A:$A,'Raw Data'!$AY:$AY),"")</f>
        <v/>
      </c>
      <c r="O223" s="231" t="str">
        <f>IFERROR(1-(SUMIF('Plant BD'!$B:$B,A223,'Plant BD'!$AE:$AE)/(AA223+SUMIF('Plant BD'!$B:$B,A223,'Plant BD'!$AE:$AE))),"")</f>
        <v/>
      </c>
      <c r="P223" s="231"/>
      <c r="Q223" s="232"/>
      <c r="R223" s="231" t="str">
        <f>IFERROR(1-(SUMIF('Grid BD'!$B:$B,$A223,'Grid BD'!$AD:$AD)/($AA223+SUMIF('Grid BD'!$B:$B,$A223,'Grid BD'!AD:AD))),"")</f>
        <v/>
      </c>
      <c r="S223" s="6"/>
      <c r="T223" s="232"/>
      <c r="U223" s="233" t="str">
        <f t="shared" si="17"/>
        <v/>
      </c>
      <c r="V223" s="233"/>
      <c r="W223" s="234" t="str">
        <f t="shared" si="15"/>
        <v/>
      </c>
      <c r="X223" s="227" t="str">
        <f>IFERROR(_xlfn.XLOOKUP($A223,'Raw Data'!$A:$A,'Raw Data'!$BA:$BA),"")</f>
        <v/>
      </c>
      <c r="Y223" s="227" t="str">
        <f>IFERROR(_xlfn.XLOOKUP($A223,'Raw Data'!$A:$A,'Raw Data'!BJ:BJ),"")</f>
        <v/>
      </c>
      <c r="Z223" s="227" t="str">
        <f>IFERROR(_xlfn.XLOOKUP($A223,'Raw Data'!$A:$A,'Raw Data'!BK:BK),"")</f>
        <v/>
      </c>
      <c r="AA223" s="227" t="str">
        <f>IFERROR(_xlfn.XLOOKUP($A223,'Raw Data'!$A:$A,'Raw Data'!BL:BL),"")</f>
        <v/>
      </c>
      <c r="AB223" s="227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27">
        <f>IFERROR(_xlfn.XLOOKUP($D223,'Modelling New'!$D:$D,'Modelling New'!$T:$T)*1000,"")</f>
        <v>110013.10061975369</v>
      </c>
      <c r="AE223" s="234">
        <f>IFERROR(_xlfn.XLOOKUP($D223,'Modelling New'!$D:$D,'Modelling New'!$O:$O),"")</f>
        <v>0.70582805765293155</v>
      </c>
      <c r="AF223" s="234">
        <f>IFERROR(_xlfn.XLOOKUP($D223,'Modelling New'!$D:$D,'Modelling New'!$W:$W),"")</f>
        <v>0.18861294207281115</v>
      </c>
      <c r="AG223" s="234">
        <f>IFERROR(_xlfn.XLOOKUP($D223,'Modelling New'!$D:$D,'Modelling New'!AE:AE),"")</f>
        <v>0.995</v>
      </c>
      <c r="AH223" s="234">
        <v>0.99750000000000005</v>
      </c>
      <c r="AI223" s="6"/>
      <c r="AJ223" s="6"/>
      <c r="AK223" s="6"/>
      <c r="AL223" s="6"/>
      <c r="AM223" s="6"/>
      <c r="AN223" s="231"/>
      <c r="AO223" s="234"/>
      <c r="AP223" s="234"/>
      <c r="AQ223" s="234"/>
      <c r="AR223" s="227">
        <f>IFERROR(_xlfn.XLOOKUP($D223,'Modelling New'!$D:$D,'Modelling New'!$N:$N),"")</f>
        <v>24.303100000000001</v>
      </c>
      <c r="AS223" s="227"/>
    </row>
    <row r="224" spans="1:45" x14ac:dyDescent="0.35">
      <c r="A224" s="226">
        <f t="shared" si="18"/>
        <v>45967</v>
      </c>
      <c r="B224" s="227">
        <f>YEAR(Daily_KPI[[#This Row],[Date]])+IF(MONTH(Daily_KPI[[#This Row],[Date]])&gt;=4,1,0)</f>
        <v>2026</v>
      </c>
      <c r="C224" s="6">
        <f>YEAR(Daily_KPI[[#This Row],[Date]])</f>
        <v>2025</v>
      </c>
      <c r="D224" s="228">
        <f>Daily_KPI[[#This Row],[Date]]-DAY(Daily_KPI[[#This Row],[Date]])+1</f>
        <v>45962</v>
      </c>
      <c r="E224" s="6">
        <f t="shared" si="16"/>
        <v>30</v>
      </c>
      <c r="F224" s="229" t="str">
        <f>IFERROR(_xlfn.XLOOKUP($A224,'Raw Data'!$A:$A,'Raw Data'!$BR:$BR),"")</f>
        <v/>
      </c>
      <c r="G224" s="230" t="str">
        <f>IFERROR(_xlfn.XLOOKUP($A224,'Raw Data'!$A:$A,'Raw Data'!$AO:$AO),"")</f>
        <v/>
      </c>
      <c r="H224" s="230"/>
      <c r="I224" s="230" t="str">
        <f>IFERROR(_xlfn.XLOOKUP($A224,'Raw Data'!$A:$A,'Raw Data'!$AR:$AR),"")</f>
        <v/>
      </c>
      <c r="J224" s="230"/>
      <c r="K224" s="230" t="str">
        <f>IFERROR(_xlfn.XLOOKUP($A224,'Raw Data'!$A:$A,'Raw Data'!$AV:$AV),"")</f>
        <v/>
      </c>
      <c r="L224" s="230" t="str">
        <f>IFERROR(_xlfn.XLOOKUP($A224,'Raw Data'!$A:$A,'Raw Data'!$AW:$AW),"")</f>
        <v/>
      </c>
      <c r="M224" s="230" t="str">
        <f>IFERROR(_xlfn.XLOOKUP($A224,'Raw Data'!$A:$A,'Raw Data'!$AX:$AX),"")</f>
        <v/>
      </c>
      <c r="N224" s="230" t="str">
        <f>IFERROR(_xlfn.XLOOKUP($A224,'Raw Data'!$A:$A,'Raw Data'!$AY:$AY),"")</f>
        <v/>
      </c>
      <c r="O224" s="231" t="str">
        <f>IFERROR(1-(SUMIF('Plant BD'!$B:$B,A224,'Plant BD'!$AE:$AE)/(AA224+SUMIF('Plant BD'!$B:$B,A224,'Plant BD'!$AE:$AE))),"")</f>
        <v/>
      </c>
      <c r="P224" s="231"/>
      <c r="Q224" s="232"/>
      <c r="R224" s="231" t="str">
        <f>IFERROR(1-(SUMIF('Grid BD'!$B:$B,$A224,'Grid BD'!$AD:$AD)/($AA224+SUMIF('Grid BD'!$B:$B,$A224,'Grid BD'!AD:AD))),"")</f>
        <v/>
      </c>
      <c r="S224" s="6"/>
      <c r="T224" s="232"/>
      <c r="U224" s="233" t="str">
        <f t="shared" si="17"/>
        <v/>
      </c>
      <c r="V224" s="233"/>
      <c r="W224" s="234" t="str">
        <f t="shared" si="15"/>
        <v/>
      </c>
      <c r="X224" s="227" t="str">
        <f>IFERROR(_xlfn.XLOOKUP($A224,'Raw Data'!$A:$A,'Raw Data'!$BA:$BA),"")</f>
        <v/>
      </c>
      <c r="Y224" s="227" t="str">
        <f>IFERROR(_xlfn.XLOOKUP($A224,'Raw Data'!$A:$A,'Raw Data'!BJ:BJ),"")</f>
        <v/>
      </c>
      <c r="Z224" s="227" t="str">
        <f>IFERROR(_xlfn.XLOOKUP($A224,'Raw Data'!$A:$A,'Raw Data'!BK:BK),"")</f>
        <v/>
      </c>
      <c r="AA224" s="227" t="str">
        <f>IFERROR(_xlfn.XLOOKUP($A224,'Raw Data'!$A:$A,'Raw Data'!BL:BL),"")</f>
        <v/>
      </c>
      <c r="AB224" s="227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27">
        <f>IFERROR(_xlfn.XLOOKUP($D224,'Modelling New'!$D:$D,'Modelling New'!$T:$T)*1000,"")</f>
        <v>110013.10061975369</v>
      </c>
      <c r="AE224" s="234">
        <f>IFERROR(_xlfn.XLOOKUP($D224,'Modelling New'!$D:$D,'Modelling New'!$O:$O),"")</f>
        <v>0.70582805765293155</v>
      </c>
      <c r="AF224" s="234">
        <f>IFERROR(_xlfn.XLOOKUP($D224,'Modelling New'!$D:$D,'Modelling New'!$W:$W),"")</f>
        <v>0.18861294207281115</v>
      </c>
      <c r="AG224" s="234">
        <f>IFERROR(_xlfn.XLOOKUP($D224,'Modelling New'!$D:$D,'Modelling New'!AE:AE),"")</f>
        <v>0.995</v>
      </c>
      <c r="AH224" s="234">
        <v>0.99750000000000005</v>
      </c>
      <c r="AI224" s="6"/>
      <c r="AJ224" s="6"/>
      <c r="AK224" s="6"/>
      <c r="AL224" s="6"/>
      <c r="AM224" s="6"/>
      <c r="AN224" s="231"/>
      <c r="AO224" s="234"/>
      <c r="AP224" s="234"/>
      <c r="AQ224" s="234"/>
      <c r="AR224" s="227">
        <f>IFERROR(_xlfn.XLOOKUP($D224,'Modelling New'!$D:$D,'Modelling New'!$N:$N),"")</f>
        <v>24.303100000000001</v>
      </c>
      <c r="AS224" s="227"/>
    </row>
    <row r="225" spans="1:45" x14ac:dyDescent="0.35">
      <c r="A225" s="226">
        <f t="shared" si="18"/>
        <v>45968</v>
      </c>
      <c r="B225" s="227">
        <f>YEAR(Daily_KPI[[#This Row],[Date]])+IF(MONTH(Daily_KPI[[#This Row],[Date]])&gt;=4,1,0)</f>
        <v>2026</v>
      </c>
      <c r="C225" s="6">
        <f>YEAR(Daily_KPI[[#This Row],[Date]])</f>
        <v>2025</v>
      </c>
      <c r="D225" s="228">
        <f>Daily_KPI[[#This Row],[Date]]-DAY(Daily_KPI[[#This Row],[Date]])+1</f>
        <v>45962</v>
      </c>
      <c r="E225" s="6">
        <f t="shared" si="16"/>
        <v>30</v>
      </c>
      <c r="F225" s="229" t="str">
        <f>IFERROR(_xlfn.XLOOKUP($A225,'Raw Data'!$A:$A,'Raw Data'!$BR:$BR),"")</f>
        <v/>
      </c>
      <c r="G225" s="230" t="str">
        <f>IFERROR(_xlfn.XLOOKUP($A225,'Raw Data'!$A:$A,'Raw Data'!$AO:$AO),"")</f>
        <v/>
      </c>
      <c r="H225" s="230"/>
      <c r="I225" s="230" t="str">
        <f>IFERROR(_xlfn.XLOOKUP($A225,'Raw Data'!$A:$A,'Raw Data'!$AR:$AR),"")</f>
        <v/>
      </c>
      <c r="J225" s="230"/>
      <c r="K225" s="230" t="str">
        <f>IFERROR(_xlfn.XLOOKUP($A225,'Raw Data'!$A:$A,'Raw Data'!$AV:$AV),"")</f>
        <v/>
      </c>
      <c r="L225" s="230" t="str">
        <f>IFERROR(_xlfn.XLOOKUP($A225,'Raw Data'!$A:$A,'Raw Data'!$AW:$AW),"")</f>
        <v/>
      </c>
      <c r="M225" s="230" t="str">
        <f>IFERROR(_xlfn.XLOOKUP($A225,'Raw Data'!$A:$A,'Raw Data'!$AX:$AX),"")</f>
        <v/>
      </c>
      <c r="N225" s="230" t="str">
        <f>IFERROR(_xlfn.XLOOKUP($A225,'Raw Data'!$A:$A,'Raw Data'!$AY:$AY),"")</f>
        <v/>
      </c>
      <c r="O225" s="231" t="str">
        <f>IFERROR(1-(SUMIF('Plant BD'!$B:$B,A225,'Plant BD'!$AE:$AE)/(AA225+SUMIF('Plant BD'!$B:$B,A225,'Plant BD'!$AE:$AE))),"")</f>
        <v/>
      </c>
      <c r="P225" s="231"/>
      <c r="Q225" s="232"/>
      <c r="R225" s="231" t="str">
        <f>IFERROR(1-(SUMIF('Grid BD'!$B:$B,$A225,'Grid BD'!$AD:$AD)/($AA225+SUMIF('Grid BD'!$B:$B,$A225,'Grid BD'!AD:AD))),"")</f>
        <v/>
      </c>
      <c r="S225" s="6"/>
      <c r="T225" s="232"/>
      <c r="U225" s="233" t="str">
        <f t="shared" si="17"/>
        <v/>
      </c>
      <c r="V225" s="233"/>
      <c r="W225" s="234" t="str">
        <f t="shared" si="15"/>
        <v/>
      </c>
      <c r="X225" s="227" t="str">
        <f>IFERROR(_xlfn.XLOOKUP($A225,'Raw Data'!$A:$A,'Raw Data'!$BA:$BA),"")</f>
        <v/>
      </c>
      <c r="Y225" s="227" t="str">
        <f>IFERROR(_xlfn.XLOOKUP($A225,'Raw Data'!$A:$A,'Raw Data'!BJ:BJ),"")</f>
        <v/>
      </c>
      <c r="Z225" s="227" t="str">
        <f>IFERROR(_xlfn.XLOOKUP($A225,'Raw Data'!$A:$A,'Raw Data'!BK:BK),"")</f>
        <v/>
      </c>
      <c r="AA225" s="227" t="str">
        <f>IFERROR(_xlfn.XLOOKUP($A225,'Raw Data'!$A:$A,'Raw Data'!BL:BL),"")</f>
        <v/>
      </c>
      <c r="AB225" s="227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27">
        <f>IFERROR(_xlfn.XLOOKUP($D225,'Modelling New'!$D:$D,'Modelling New'!$T:$T)*1000,"")</f>
        <v>110013.10061975369</v>
      </c>
      <c r="AE225" s="234">
        <f>IFERROR(_xlfn.XLOOKUP($D225,'Modelling New'!$D:$D,'Modelling New'!$O:$O),"")</f>
        <v>0.70582805765293155</v>
      </c>
      <c r="AF225" s="234">
        <f>IFERROR(_xlfn.XLOOKUP($D225,'Modelling New'!$D:$D,'Modelling New'!$W:$W),"")</f>
        <v>0.18861294207281115</v>
      </c>
      <c r="AG225" s="234">
        <f>IFERROR(_xlfn.XLOOKUP($D225,'Modelling New'!$D:$D,'Modelling New'!AE:AE),"")</f>
        <v>0.995</v>
      </c>
      <c r="AH225" s="234">
        <v>0.99750000000000005</v>
      </c>
      <c r="AI225" s="6"/>
      <c r="AJ225" s="6"/>
      <c r="AK225" s="6"/>
      <c r="AL225" s="6"/>
      <c r="AM225" s="6"/>
      <c r="AN225" s="231"/>
      <c r="AO225" s="234"/>
      <c r="AP225" s="234"/>
      <c r="AQ225" s="234"/>
      <c r="AR225" s="227">
        <f>IFERROR(_xlfn.XLOOKUP($D225,'Modelling New'!$D:$D,'Modelling New'!$N:$N),"")</f>
        <v>24.303100000000001</v>
      </c>
      <c r="AS225" s="227"/>
    </row>
    <row r="226" spans="1:45" x14ac:dyDescent="0.35">
      <c r="A226" s="226">
        <f t="shared" si="18"/>
        <v>45969</v>
      </c>
      <c r="B226" s="227">
        <f>YEAR(Daily_KPI[[#This Row],[Date]])+IF(MONTH(Daily_KPI[[#This Row],[Date]])&gt;=4,1,0)</f>
        <v>2026</v>
      </c>
      <c r="C226" s="6">
        <f>YEAR(Daily_KPI[[#This Row],[Date]])</f>
        <v>2025</v>
      </c>
      <c r="D226" s="228">
        <f>Daily_KPI[[#This Row],[Date]]-DAY(Daily_KPI[[#This Row],[Date]])+1</f>
        <v>45962</v>
      </c>
      <c r="E226" s="6">
        <f t="shared" si="16"/>
        <v>30</v>
      </c>
      <c r="F226" s="229" t="str">
        <f>IFERROR(_xlfn.XLOOKUP($A226,'Raw Data'!$A:$A,'Raw Data'!$BR:$BR),"")</f>
        <v/>
      </c>
      <c r="G226" s="230" t="str">
        <f>IFERROR(_xlfn.XLOOKUP($A226,'Raw Data'!$A:$A,'Raw Data'!$AO:$AO),"")</f>
        <v/>
      </c>
      <c r="H226" s="230"/>
      <c r="I226" s="230" t="str">
        <f>IFERROR(_xlfn.XLOOKUP($A226,'Raw Data'!$A:$A,'Raw Data'!$AR:$AR),"")</f>
        <v/>
      </c>
      <c r="J226" s="230"/>
      <c r="K226" s="230" t="str">
        <f>IFERROR(_xlfn.XLOOKUP($A226,'Raw Data'!$A:$A,'Raw Data'!$AV:$AV),"")</f>
        <v/>
      </c>
      <c r="L226" s="230" t="str">
        <f>IFERROR(_xlfn.XLOOKUP($A226,'Raw Data'!$A:$A,'Raw Data'!$AW:$AW),"")</f>
        <v/>
      </c>
      <c r="M226" s="230" t="str">
        <f>IFERROR(_xlfn.XLOOKUP($A226,'Raw Data'!$A:$A,'Raw Data'!$AX:$AX),"")</f>
        <v/>
      </c>
      <c r="N226" s="230" t="str">
        <f>IFERROR(_xlfn.XLOOKUP($A226,'Raw Data'!$A:$A,'Raw Data'!$AY:$AY),"")</f>
        <v/>
      </c>
      <c r="O226" s="231" t="str">
        <f>IFERROR(1-(SUMIF('Plant BD'!$B:$B,A226,'Plant BD'!$AE:$AE)/(AA226+SUMIF('Plant BD'!$B:$B,A226,'Plant BD'!$AE:$AE))),"")</f>
        <v/>
      </c>
      <c r="P226" s="231"/>
      <c r="Q226" s="232"/>
      <c r="R226" s="231" t="str">
        <f>IFERROR(1-(SUMIF('Grid BD'!$B:$B,$A226,'Grid BD'!$AD:$AD)/($AA226+SUMIF('Grid BD'!$B:$B,$A226,'Grid BD'!AD:AD))),"")</f>
        <v/>
      </c>
      <c r="S226" s="6"/>
      <c r="T226" s="232"/>
      <c r="U226" s="233" t="str">
        <f t="shared" si="17"/>
        <v/>
      </c>
      <c r="V226" s="233"/>
      <c r="W226" s="234" t="str">
        <f t="shared" si="15"/>
        <v/>
      </c>
      <c r="X226" s="227" t="str">
        <f>IFERROR(_xlfn.XLOOKUP($A226,'Raw Data'!$A:$A,'Raw Data'!$BA:$BA),"")</f>
        <v/>
      </c>
      <c r="Y226" s="227" t="str">
        <f>IFERROR(_xlfn.XLOOKUP($A226,'Raw Data'!$A:$A,'Raw Data'!BJ:BJ),"")</f>
        <v/>
      </c>
      <c r="Z226" s="227" t="str">
        <f>IFERROR(_xlfn.XLOOKUP($A226,'Raw Data'!$A:$A,'Raw Data'!BK:BK),"")</f>
        <v/>
      </c>
      <c r="AA226" s="227" t="str">
        <f>IFERROR(_xlfn.XLOOKUP($A226,'Raw Data'!$A:$A,'Raw Data'!BL:BL),"")</f>
        <v/>
      </c>
      <c r="AB226" s="227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27">
        <f>IFERROR(_xlfn.XLOOKUP($D226,'Modelling New'!$D:$D,'Modelling New'!$T:$T)*1000,"")</f>
        <v>110013.10061975369</v>
      </c>
      <c r="AE226" s="234">
        <f>IFERROR(_xlfn.XLOOKUP($D226,'Modelling New'!$D:$D,'Modelling New'!$O:$O),"")</f>
        <v>0.70582805765293155</v>
      </c>
      <c r="AF226" s="234">
        <f>IFERROR(_xlfn.XLOOKUP($D226,'Modelling New'!$D:$D,'Modelling New'!$W:$W),"")</f>
        <v>0.18861294207281115</v>
      </c>
      <c r="AG226" s="234">
        <f>IFERROR(_xlfn.XLOOKUP($D226,'Modelling New'!$D:$D,'Modelling New'!AE:AE),"")</f>
        <v>0.995</v>
      </c>
      <c r="AH226" s="234">
        <v>0.99750000000000005</v>
      </c>
      <c r="AI226" s="6"/>
      <c r="AJ226" s="6"/>
      <c r="AK226" s="6"/>
      <c r="AL226" s="6"/>
      <c r="AM226" s="6"/>
      <c r="AN226" s="231"/>
      <c r="AO226" s="234"/>
      <c r="AP226" s="234"/>
      <c r="AQ226" s="234"/>
      <c r="AR226" s="227">
        <f>IFERROR(_xlfn.XLOOKUP($D226,'Modelling New'!$D:$D,'Modelling New'!$N:$N),"")</f>
        <v>24.303100000000001</v>
      </c>
      <c r="AS226" s="227"/>
    </row>
    <row r="227" spans="1:45" x14ac:dyDescent="0.35">
      <c r="A227" s="226">
        <f t="shared" si="18"/>
        <v>45970</v>
      </c>
      <c r="B227" s="227">
        <f>YEAR(Daily_KPI[[#This Row],[Date]])+IF(MONTH(Daily_KPI[[#This Row],[Date]])&gt;=4,1,0)</f>
        <v>2026</v>
      </c>
      <c r="C227" s="6">
        <f>YEAR(Daily_KPI[[#This Row],[Date]])</f>
        <v>2025</v>
      </c>
      <c r="D227" s="228">
        <f>Daily_KPI[[#This Row],[Date]]-DAY(Daily_KPI[[#This Row],[Date]])+1</f>
        <v>45962</v>
      </c>
      <c r="E227" s="6">
        <f t="shared" si="16"/>
        <v>30</v>
      </c>
      <c r="F227" s="229" t="str">
        <f>IFERROR(_xlfn.XLOOKUP($A227,'Raw Data'!$A:$A,'Raw Data'!$BR:$BR),"")</f>
        <v/>
      </c>
      <c r="G227" s="230" t="str">
        <f>IFERROR(_xlfn.XLOOKUP($A227,'Raw Data'!$A:$A,'Raw Data'!$AO:$AO),"")</f>
        <v/>
      </c>
      <c r="H227" s="230"/>
      <c r="I227" s="230" t="str">
        <f>IFERROR(_xlfn.XLOOKUP($A227,'Raw Data'!$A:$A,'Raw Data'!$AR:$AR),"")</f>
        <v/>
      </c>
      <c r="J227" s="230"/>
      <c r="K227" s="230" t="str">
        <f>IFERROR(_xlfn.XLOOKUP($A227,'Raw Data'!$A:$A,'Raw Data'!$AV:$AV),"")</f>
        <v/>
      </c>
      <c r="L227" s="230" t="str">
        <f>IFERROR(_xlfn.XLOOKUP($A227,'Raw Data'!$A:$A,'Raw Data'!$AW:$AW),"")</f>
        <v/>
      </c>
      <c r="M227" s="230" t="str">
        <f>IFERROR(_xlfn.XLOOKUP($A227,'Raw Data'!$A:$A,'Raw Data'!$AX:$AX),"")</f>
        <v/>
      </c>
      <c r="N227" s="230" t="str">
        <f>IFERROR(_xlfn.XLOOKUP($A227,'Raw Data'!$A:$A,'Raw Data'!$AY:$AY),"")</f>
        <v/>
      </c>
      <c r="O227" s="231" t="str">
        <f>IFERROR(1-(SUMIF('Plant BD'!$B:$B,A227,'Plant BD'!$AE:$AE)/(AA227+SUMIF('Plant BD'!$B:$B,A227,'Plant BD'!$AE:$AE))),"")</f>
        <v/>
      </c>
      <c r="P227" s="231"/>
      <c r="Q227" s="232"/>
      <c r="R227" s="231" t="str">
        <f>IFERROR(1-(SUMIF('Grid BD'!$B:$B,$A227,'Grid BD'!$AD:$AD)/($AA227+SUMIF('Grid BD'!$B:$B,$A227,'Grid BD'!AD:AD))),"")</f>
        <v/>
      </c>
      <c r="S227" s="6"/>
      <c r="T227" s="232"/>
      <c r="U227" s="233" t="str">
        <f t="shared" si="17"/>
        <v/>
      </c>
      <c r="V227" s="233"/>
      <c r="W227" s="234" t="str">
        <f t="shared" si="15"/>
        <v/>
      </c>
      <c r="X227" s="227" t="str">
        <f>IFERROR(_xlfn.XLOOKUP($A227,'Raw Data'!$A:$A,'Raw Data'!$BA:$BA),"")</f>
        <v/>
      </c>
      <c r="Y227" s="227" t="str">
        <f>IFERROR(_xlfn.XLOOKUP($A227,'Raw Data'!$A:$A,'Raw Data'!BJ:BJ),"")</f>
        <v/>
      </c>
      <c r="Z227" s="227" t="str">
        <f>IFERROR(_xlfn.XLOOKUP($A227,'Raw Data'!$A:$A,'Raw Data'!BK:BK),"")</f>
        <v/>
      </c>
      <c r="AA227" s="227" t="str">
        <f>IFERROR(_xlfn.XLOOKUP($A227,'Raw Data'!$A:$A,'Raw Data'!BL:BL),"")</f>
        <v/>
      </c>
      <c r="AB227" s="227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27">
        <f>IFERROR(_xlfn.XLOOKUP($D227,'Modelling New'!$D:$D,'Modelling New'!$T:$T)*1000,"")</f>
        <v>110013.10061975369</v>
      </c>
      <c r="AE227" s="234">
        <f>IFERROR(_xlfn.XLOOKUP($D227,'Modelling New'!$D:$D,'Modelling New'!$O:$O),"")</f>
        <v>0.70582805765293155</v>
      </c>
      <c r="AF227" s="234">
        <f>IFERROR(_xlfn.XLOOKUP($D227,'Modelling New'!$D:$D,'Modelling New'!$W:$W),"")</f>
        <v>0.18861294207281115</v>
      </c>
      <c r="AG227" s="234">
        <f>IFERROR(_xlfn.XLOOKUP($D227,'Modelling New'!$D:$D,'Modelling New'!AE:AE),"")</f>
        <v>0.995</v>
      </c>
      <c r="AH227" s="234">
        <v>0.99750000000000005</v>
      </c>
      <c r="AI227" s="6"/>
      <c r="AJ227" s="6"/>
      <c r="AK227" s="6"/>
      <c r="AL227" s="6"/>
      <c r="AM227" s="6"/>
      <c r="AN227" s="231"/>
      <c r="AO227" s="234"/>
      <c r="AP227" s="234"/>
      <c r="AQ227" s="234"/>
      <c r="AR227" s="227">
        <f>IFERROR(_xlfn.XLOOKUP($D227,'Modelling New'!$D:$D,'Modelling New'!$N:$N),"")</f>
        <v>24.303100000000001</v>
      </c>
      <c r="AS227" s="227"/>
    </row>
    <row r="228" spans="1:45" x14ac:dyDescent="0.35">
      <c r="A228" s="226">
        <f t="shared" si="18"/>
        <v>45971</v>
      </c>
      <c r="B228" s="227">
        <f>YEAR(Daily_KPI[[#This Row],[Date]])+IF(MONTH(Daily_KPI[[#This Row],[Date]])&gt;=4,1,0)</f>
        <v>2026</v>
      </c>
      <c r="C228" s="6">
        <f>YEAR(Daily_KPI[[#This Row],[Date]])</f>
        <v>2025</v>
      </c>
      <c r="D228" s="228">
        <f>Daily_KPI[[#This Row],[Date]]-DAY(Daily_KPI[[#This Row],[Date]])+1</f>
        <v>45962</v>
      </c>
      <c r="E228" s="6">
        <f t="shared" si="16"/>
        <v>30</v>
      </c>
      <c r="F228" s="229" t="str">
        <f>IFERROR(_xlfn.XLOOKUP($A228,'Raw Data'!$A:$A,'Raw Data'!$BR:$BR),"")</f>
        <v/>
      </c>
      <c r="G228" s="230" t="str">
        <f>IFERROR(_xlfn.XLOOKUP($A228,'Raw Data'!$A:$A,'Raw Data'!$AO:$AO),"")</f>
        <v/>
      </c>
      <c r="H228" s="230"/>
      <c r="I228" s="230" t="str">
        <f>IFERROR(_xlfn.XLOOKUP($A228,'Raw Data'!$A:$A,'Raw Data'!$AR:$AR),"")</f>
        <v/>
      </c>
      <c r="J228" s="230"/>
      <c r="K228" s="230" t="str">
        <f>IFERROR(_xlfn.XLOOKUP($A228,'Raw Data'!$A:$A,'Raw Data'!$AV:$AV),"")</f>
        <v/>
      </c>
      <c r="L228" s="230" t="str">
        <f>IFERROR(_xlfn.XLOOKUP($A228,'Raw Data'!$A:$A,'Raw Data'!$AW:$AW),"")</f>
        <v/>
      </c>
      <c r="M228" s="230" t="str">
        <f>IFERROR(_xlfn.XLOOKUP($A228,'Raw Data'!$A:$A,'Raw Data'!$AX:$AX),"")</f>
        <v/>
      </c>
      <c r="N228" s="230" t="str">
        <f>IFERROR(_xlfn.XLOOKUP($A228,'Raw Data'!$A:$A,'Raw Data'!$AY:$AY),"")</f>
        <v/>
      </c>
      <c r="O228" s="231" t="str">
        <f>IFERROR(1-(SUMIF('Plant BD'!$B:$B,A228,'Plant BD'!$AE:$AE)/(AA228+SUMIF('Plant BD'!$B:$B,A228,'Plant BD'!$AE:$AE))),"")</f>
        <v/>
      </c>
      <c r="P228" s="231"/>
      <c r="Q228" s="232"/>
      <c r="R228" s="231" t="str">
        <f>IFERROR(1-(SUMIF('Grid BD'!$B:$B,$A228,'Grid BD'!$AD:$AD)/($AA228+SUMIF('Grid BD'!$B:$B,$A228,'Grid BD'!AD:AD))),"")</f>
        <v/>
      </c>
      <c r="S228" s="6"/>
      <c r="T228" s="232"/>
      <c r="U228" s="233" t="str">
        <f t="shared" si="17"/>
        <v/>
      </c>
      <c r="V228" s="233"/>
      <c r="W228" s="234" t="str">
        <f t="shared" si="15"/>
        <v/>
      </c>
      <c r="X228" s="227" t="str">
        <f>IFERROR(_xlfn.XLOOKUP($A228,'Raw Data'!$A:$A,'Raw Data'!$BA:$BA),"")</f>
        <v/>
      </c>
      <c r="Y228" s="227" t="str">
        <f>IFERROR(_xlfn.XLOOKUP($A228,'Raw Data'!$A:$A,'Raw Data'!BJ:BJ),"")</f>
        <v/>
      </c>
      <c r="Z228" s="227" t="str">
        <f>IFERROR(_xlfn.XLOOKUP($A228,'Raw Data'!$A:$A,'Raw Data'!BK:BK),"")</f>
        <v/>
      </c>
      <c r="AA228" s="227" t="str">
        <f>IFERROR(_xlfn.XLOOKUP($A228,'Raw Data'!$A:$A,'Raw Data'!BL:BL),"")</f>
        <v/>
      </c>
      <c r="AB228" s="227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27">
        <f>IFERROR(_xlfn.XLOOKUP($D228,'Modelling New'!$D:$D,'Modelling New'!$T:$T)*1000,"")</f>
        <v>110013.10061975369</v>
      </c>
      <c r="AE228" s="234">
        <f>IFERROR(_xlfn.XLOOKUP($D228,'Modelling New'!$D:$D,'Modelling New'!$O:$O),"")</f>
        <v>0.70582805765293155</v>
      </c>
      <c r="AF228" s="234">
        <f>IFERROR(_xlfn.XLOOKUP($D228,'Modelling New'!$D:$D,'Modelling New'!$W:$W),"")</f>
        <v>0.18861294207281115</v>
      </c>
      <c r="AG228" s="234">
        <f>IFERROR(_xlfn.XLOOKUP($D228,'Modelling New'!$D:$D,'Modelling New'!AE:AE),"")</f>
        <v>0.995</v>
      </c>
      <c r="AH228" s="234">
        <v>0.99750000000000005</v>
      </c>
      <c r="AI228" s="6"/>
      <c r="AJ228" s="6"/>
      <c r="AK228" s="6"/>
      <c r="AL228" s="6"/>
      <c r="AM228" s="6"/>
      <c r="AN228" s="231"/>
      <c r="AO228" s="234"/>
      <c r="AP228" s="234"/>
      <c r="AQ228" s="234"/>
      <c r="AR228" s="227">
        <f>IFERROR(_xlfn.XLOOKUP($D228,'Modelling New'!$D:$D,'Modelling New'!$N:$N),"")</f>
        <v>24.303100000000001</v>
      </c>
      <c r="AS228" s="227"/>
    </row>
    <row r="229" spans="1:45" x14ac:dyDescent="0.35">
      <c r="A229" s="226">
        <f t="shared" si="18"/>
        <v>45972</v>
      </c>
      <c r="B229" s="227">
        <f>YEAR(Daily_KPI[[#This Row],[Date]])+IF(MONTH(Daily_KPI[[#This Row],[Date]])&gt;=4,1,0)</f>
        <v>2026</v>
      </c>
      <c r="C229" s="6">
        <f>YEAR(Daily_KPI[[#This Row],[Date]])</f>
        <v>2025</v>
      </c>
      <c r="D229" s="228">
        <f>Daily_KPI[[#This Row],[Date]]-DAY(Daily_KPI[[#This Row],[Date]])+1</f>
        <v>45962</v>
      </c>
      <c r="E229" s="6">
        <f t="shared" si="16"/>
        <v>30</v>
      </c>
      <c r="F229" s="229" t="str">
        <f>IFERROR(_xlfn.XLOOKUP($A229,'Raw Data'!$A:$A,'Raw Data'!$BR:$BR),"")</f>
        <v/>
      </c>
      <c r="G229" s="230" t="str">
        <f>IFERROR(_xlfn.XLOOKUP($A229,'Raw Data'!$A:$A,'Raw Data'!$AO:$AO),"")</f>
        <v/>
      </c>
      <c r="H229" s="230"/>
      <c r="I229" s="230" t="str">
        <f>IFERROR(_xlfn.XLOOKUP($A229,'Raw Data'!$A:$A,'Raw Data'!$AR:$AR),"")</f>
        <v/>
      </c>
      <c r="J229" s="230"/>
      <c r="K229" s="230" t="str">
        <f>IFERROR(_xlfn.XLOOKUP($A229,'Raw Data'!$A:$A,'Raw Data'!$AV:$AV),"")</f>
        <v/>
      </c>
      <c r="L229" s="230" t="str">
        <f>IFERROR(_xlfn.XLOOKUP($A229,'Raw Data'!$A:$A,'Raw Data'!$AW:$AW),"")</f>
        <v/>
      </c>
      <c r="M229" s="230" t="str">
        <f>IFERROR(_xlfn.XLOOKUP($A229,'Raw Data'!$A:$A,'Raw Data'!$AX:$AX),"")</f>
        <v/>
      </c>
      <c r="N229" s="230" t="str">
        <f>IFERROR(_xlfn.XLOOKUP($A229,'Raw Data'!$A:$A,'Raw Data'!$AY:$AY),"")</f>
        <v/>
      </c>
      <c r="O229" s="231" t="str">
        <f>IFERROR(1-(SUMIF('Plant BD'!$B:$B,A229,'Plant BD'!$AE:$AE)/(AA229+SUMIF('Plant BD'!$B:$B,A229,'Plant BD'!$AE:$AE))),"")</f>
        <v/>
      </c>
      <c r="P229" s="231"/>
      <c r="Q229" s="232"/>
      <c r="R229" s="231" t="str">
        <f>IFERROR(1-(SUMIF('Grid BD'!$B:$B,$A229,'Grid BD'!$AD:$AD)/($AA229+SUMIF('Grid BD'!$B:$B,$A229,'Grid BD'!AD:AD))),"")</f>
        <v/>
      </c>
      <c r="S229" s="6"/>
      <c r="T229" s="232"/>
      <c r="U229" s="233" t="str">
        <f t="shared" si="17"/>
        <v/>
      </c>
      <c r="V229" s="233"/>
      <c r="W229" s="234" t="str">
        <f t="shared" si="15"/>
        <v/>
      </c>
      <c r="X229" s="227" t="str">
        <f>IFERROR(_xlfn.XLOOKUP($A229,'Raw Data'!$A:$A,'Raw Data'!$BA:$BA),"")</f>
        <v/>
      </c>
      <c r="Y229" s="227" t="str">
        <f>IFERROR(_xlfn.XLOOKUP($A229,'Raw Data'!$A:$A,'Raw Data'!BJ:BJ),"")</f>
        <v/>
      </c>
      <c r="Z229" s="227" t="str">
        <f>IFERROR(_xlfn.XLOOKUP($A229,'Raw Data'!$A:$A,'Raw Data'!BK:BK),"")</f>
        <v/>
      </c>
      <c r="AA229" s="227" t="str">
        <f>IFERROR(_xlfn.XLOOKUP($A229,'Raw Data'!$A:$A,'Raw Data'!BL:BL),"")</f>
        <v/>
      </c>
      <c r="AB229" s="227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27">
        <f>IFERROR(_xlfn.XLOOKUP($D229,'Modelling New'!$D:$D,'Modelling New'!$T:$T)*1000,"")</f>
        <v>110013.10061975369</v>
      </c>
      <c r="AE229" s="234">
        <f>IFERROR(_xlfn.XLOOKUP($D229,'Modelling New'!$D:$D,'Modelling New'!$O:$O),"")</f>
        <v>0.70582805765293155</v>
      </c>
      <c r="AF229" s="234">
        <f>IFERROR(_xlfn.XLOOKUP($D229,'Modelling New'!$D:$D,'Modelling New'!$W:$W),"")</f>
        <v>0.18861294207281115</v>
      </c>
      <c r="AG229" s="234">
        <f>IFERROR(_xlfn.XLOOKUP($D229,'Modelling New'!$D:$D,'Modelling New'!AE:AE),"")</f>
        <v>0.995</v>
      </c>
      <c r="AH229" s="234">
        <v>0.99750000000000005</v>
      </c>
      <c r="AI229" s="6"/>
      <c r="AJ229" s="6"/>
      <c r="AK229" s="6"/>
      <c r="AL229" s="6"/>
      <c r="AM229" s="6"/>
      <c r="AN229" s="231"/>
      <c r="AO229" s="234"/>
      <c r="AP229" s="234"/>
      <c r="AQ229" s="234"/>
      <c r="AR229" s="227">
        <f>IFERROR(_xlfn.XLOOKUP($D229,'Modelling New'!$D:$D,'Modelling New'!$N:$N),"")</f>
        <v>24.303100000000001</v>
      </c>
      <c r="AS229" s="227"/>
    </row>
    <row r="230" spans="1:45" x14ac:dyDescent="0.35">
      <c r="A230" s="226">
        <f t="shared" si="18"/>
        <v>45973</v>
      </c>
      <c r="B230" s="227">
        <f>YEAR(Daily_KPI[[#This Row],[Date]])+IF(MONTH(Daily_KPI[[#This Row],[Date]])&gt;=4,1,0)</f>
        <v>2026</v>
      </c>
      <c r="C230" s="6">
        <f>YEAR(Daily_KPI[[#This Row],[Date]])</f>
        <v>2025</v>
      </c>
      <c r="D230" s="228">
        <f>Daily_KPI[[#This Row],[Date]]-DAY(Daily_KPI[[#This Row],[Date]])+1</f>
        <v>45962</v>
      </c>
      <c r="E230" s="6">
        <f t="shared" si="16"/>
        <v>30</v>
      </c>
      <c r="F230" s="229" t="str">
        <f>IFERROR(_xlfn.XLOOKUP($A230,'Raw Data'!$A:$A,'Raw Data'!$BR:$BR),"")</f>
        <v/>
      </c>
      <c r="G230" s="230" t="str">
        <f>IFERROR(_xlfn.XLOOKUP($A230,'Raw Data'!$A:$A,'Raw Data'!$AO:$AO),"")</f>
        <v/>
      </c>
      <c r="H230" s="230"/>
      <c r="I230" s="230" t="str">
        <f>IFERROR(_xlfn.XLOOKUP($A230,'Raw Data'!$A:$A,'Raw Data'!$AR:$AR),"")</f>
        <v/>
      </c>
      <c r="J230" s="230"/>
      <c r="K230" s="230" t="str">
        <f>IFERROR(_xlfn.XLOOKUP($A230,'Raw Data'!$A:$A,'Raw Data'!$AV:$AV),"")</f>
        <v/>
      </c>
      <c r="L230" s="230" t="str">
        <f>IFERROR(_xlfn.XLOOKUP($A230,'Raw Data'!$A:$A,'Raw Data'!$AW:$AW),"")</f>
        <v/>
      </c>
      <c r="M230" s="230" t="str">
        <f>IFERROR(_xlfn.XLOOKUP($A230,'Raw Data'!$A:$A,'Raw Data'!$AX:$AX),"")</f>
        <v/>
      </c>
      <c r="N230" s="230" t="str">
        <f>IFERROR(_xlfn.XLOOKUP($A230,'Raw Data'!$A:$A,'Raw Data'!$AY:$AY),"")</f>
        <v/>
      </c>
      <c r="O230" s="231" t="str">
        <f>IFERROR(1-(SUMIF('Plant BD'!$B:$B,A230,'Plant BD'!$AE:$AE)/(AA230+SUMIF('Plant BD'!$B:$B,A230,'Plant BD'!$AE:$AE))),"")</f>
        <v/>
      </c>
      <c r="P230" s="231"/>
      <c r="Q230" s="232"/>
      <c r="R230" s="231" t="str">
        <f>IFERROR(1-(SUMIF('Grid BD'!$B:$B,$A230,'Grid BD'!$AD:$AD)/($AA230+SUMIF('Grid BD'!$B:$B,$A230,'Grid BD'!AD:AD))),"")</f>
        <v/>
      </c>
      <c r="S230" s="6"/>
      <c r="T230" s="232"/>
      <c r="U230" s="233" t="str">
        <f t="shared" si="17"/>
        <v/>
      </c>
      <c r="V230" s="233"/>
      <c r="W230" s="234" t="str">
        <f t="shared" si="15"/>
        <v/>
      </c>
      <c r="X230" s="227" t="str">
        <f>IFERROR(_xlfn.XLOOKUP($A230,'Raw Data'!$A:$A,'Raw Data'!$BA:$BA),"")</f>
        <v/>
      </c>
      <c r="Y230" s="227" t="str">
        <f>IFERROR(_xlfn.XLOOKUP($A230,'Raw Data'!$A:$A,'Raw Data'!BJ:BJ),"")</f>
        <v/>
      </c>
      <c r="Z230" s="227" t="str">
        <f>IFERROR(_xlfn.XLOOKUP($A230,'Raw Data'!$A:$A,'Raw Data'!BK:BK),"")</f>
        <v/>
      </c>
      <c r="AA230" s="227" t="str">
        <f>IFERROR(_xlfn.XLOOKUP($A230,'Raw Data'!$A:$A,'Raw Data'!BL:BL),"")</f>
        <v/>
      </c>
      <c r="AB230" s="227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27">
        <f>IFERROR(_xlfn.XLOOKUP($D230,'Modelling New'!$D:$D,'Modelling New'!$T:$T)*1000,"")</f>
        <v>110013.10061975369</v>
      </c>
      <c r="AE230" s="234">
        <f>IFERROR(_xlfn.XLOOKUP($D230,'Modelling New'!$D:$D,'Modelling New'!$O:$O),"")</f>
        <v>0.70582805765293155</v>
      </c>
      <c r="AF230" s="234">
        <f>IFERROR(_xlfn.XLOOKUP($D230,'Modelling New'!$D:$D,'Modelling New'!$W:$W),"")</f>
        <v>0.18861294207281115</v>
      </c>
      <c r="AG230" s="234">
        <f>IFERROR(_xlfn.XLOOKUP($D230,'Modelling New'!$D:$D,'Modelling New'!AE:AE),"")</f>
        <v>0.995</v>
      </c>
      <c r="AH230" s="234">
        <v>0.99750000000000005</v>
      </c>
      <c r="AI230" s="6"/>
      <c r="AJ230" s="6"/>
      <c r="AK230" s="6"/>
      <c r="AL230" s="6"/>
      <c r="AM230" s="6"/>
      <c r="AN230" s="231"/>
      <c r="AO230" s="234"/>
      <c r="AP230" s="234"/>
      <c r="AQ230" s="234"/>
      <c r="AR230" s="227">
        <f>IFERROR(_xlfn.XLOOKUP($D230,'Modelling New'!$D:$D,'Modelling New'!$N:$N),"")</f>
        <v>24.303100000000001</v>
      </c>
      <c r="AS230" s="227"/>
    </row>
    <row r="231" spans="1:45" x14ac:dyDescent="0.35">
      <c r="A231" s="226">
        <f t="shared" si="18"/>
        <v>45974</v>
      </c>
      <c r="B231" s="227">
        <f>YEAR(Daily_KPI[[#This Row],[Date]])+IF(MONTH(Daily_KPI[[#This Row],[Date]])&gt;=4,1,0)</f>
        <v>2026</v>
      </c>
      <c r="C231" s="6">
        <f>YEAR(Daily_KPI[[#This Row],[Date]])</f>
        <v>2025</v>
      </c>
      <c r="D231" s="228">
        <f>Daily_KPI[[#This Row],[Date]]-DAY(Daily_KPI[[#This Row],[Date]])+1</f>
        <v>45962</v>
      </c>
      <c r="E231" s="6">
        <f t="shared" si="16"/>
        <v>30</v>
      </c>
      <c r="F231" s="229" t="str">
        <f>IFERROR(_xlfn.XLOOKUP($A231,'Raw Data'!$A:$A,'Raw Data'!$BR:$BR),"")</f>
        <v/>
      </c>
      <c r="G231" s="230" t="str">
        <f>IFERROR(_xlfn.XLOOKUP($A231,'Raw Data'!$A:$A,'Raw Data'!$AO:$AO),"")</f>
        <v/>
      </c>
      <c r="H231" s="230"/>
      <c r="I231" s="230" t="str">
        <f>IFERROR(_xlfn.XLOOKUP($A231,'Raw Data'!$A:$A,'Raw Data'!$AR:$AR),"")</f>
        <v/>
      </c>
      <c r="J231" s="230"/>
      <c r="K231" s="230" t="str">
        <f>IFERROR(_xlfn.XLOOKUP($A231,'Raw Data'!$A:$A,'Raw Data'!$AV:$AV),"")</f>
        <v/>
      </c>
      <c r="L231" s="230" t="str">
        <f>IFERROR(_xlfn.XLOOKUP($A231,'Raw Data'!$A:$A,'Raw Data'!$AW:$AW),"")</f>
        <v/>
      </c>
      <c r="M231" s="230" t="str">
        <f>IFERROR(_xlfn.XLOOKUP($A231,'Raw Data'!$A:$A,'Raw Data'!$AX:$AX),"")</f>
        <v/>
      </c>
      <c r="N231" s="230" t="str">
        <f>IFERROR(_xlfn.XLOOKUP($A231,'Raw Data'!$A:$A,'Raw Data'!$AY:$AY),"")</f>
        <v/>
      </c>
      <c r="O231" s="231" t="str">
        <f>IFERROR(1-(SUMIF('Plant BD'!$B:$B,A231,'Plant BD'!$AE:$AE)/(AA231+SUMIF('Plant BD'!$B:$B,A231,'Plant BD'!$AE:$AE))),"")</f>
        <v/>
      </c>
      <c r="P231" s="231"/>
      <c r="Q231" s="232"/>
      <c r="R231" s="231" t="str">
        <f>IFERROR(1-(SUMIF('Grid BD'!$B:$B,$A231,'Grid BD'!$AD:$AD)/($AA231+SUMIF('Grid BD'!$B:$B,$A231,'Grid BD'!AD:AD))),"")</f>
        <v/>
      </c>
      <c r="S231" s="6"/>
      <c r="T231" s="232"/>
      <c r="U231" s="233" t="str">
        <f t="shared" si="17"/>
        <v/>
      </c>
      <c r="V231" s="233"/>
      <c r="W231" s="234" t="str">
        <f t="shared" si="15"/>
        <v/>
      </c>
      <c r="X231" s="227" t="str">
        <f>IFERROR(_xlfn.XLOOKUP($A231,'Raw Data'!$A:$A,'Raw Data'!$BA:$BA),"")</f>
        <v/>
      </c>
      <c r="Y231" s="227" t="str">
        <f>IFERROR(_xlfn.XLOOKUP($A231,'Raw Data'!$A:$A,'Raw Data'!BJ:BJ),"")</f>
        <v/>
      </c>
      <c r="Z231" s="227" t="str">
        <f>IFERROR(_xlfn.XLOOKUP($A231,'Raw Data'!$A:$A,'Raw Data'!BK:BK),"")</f>
        <v/>
      </c>
      <c r="AA231" s="227" t="str">
        <f>IFERROR(_xlfn.XLOOKUP($A231,'Raw Data'!$A:$A,'Raw Data'!BL:BL),"")</f>
        <v/>
      </c>
      <c r="AB231" s="227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27">
        <f>IFERROR(_xlfn.XLOOKUP($D231,'Modelling New'!$D:$D,'Modelling New'!$T:$T)*1000,"")</f>
        <v>110013.10061975369</v>
      </c>
      <c r="AE231" s="234">
        <f>IFERROR(_xlfn.XLOOKUP($D231,'Modelling New'!$D:$D,'Modelling New'!$O:$O),"")</f>
        <v>0.70582805765293155</v>
      </c>
      <c r="AF231" s="234">
        <f>IFERROR(_xlfn.XLOOKUP($D231,'Modelling New'!$D:$D,'Modelling New'!$W:$W),"")</f>
        <v>0.18861294207281115</v>
      </c>
      <c r="AG231" s="234">
        <f>IFERROR(_xlfn.XLOOKUP($D231,'Modelling New'!$D:$D,'Modelling New'!AE:AE),"")</f>
        <v>0.995</v>
      </c>
      <c r="AH231" s="234">
        <v>0.99750000000000005</v>
      </c>
      <c r="AI231" s="6"/>
      <c r="AJ231" s="6"/>
      <c r="AK231" s="6"/>
      <c r="AL231" s="6"/>
      <c r="AM231" s="6"/>
      <c r="AN231" s="231"/>
      <c r="AO231" s="234"/>
      <c r="AP231" s="234"/>
      <c r="AQ231" s="234"/>
      <c r="AR231" s="227">
        <f>IFERROR(_xlfn.XLOOKUP($D231,'Modelling New'!$D:$D,'Modelling New'!$N:$N),"")</f>
        <v>24.303100000000001</v>
      </c>
      <c r="AS231" s="227"/>
    </row>
    <row r="232" spans="1:45" x14ac:dyDescent="0.35">
      <c r="A232" s="226">
        <f t="shared" si="18"/>
        <v>45975</v>
      </c>
      <c r="B232" s="227">
        <f>YEAR(Daily_KPI[[#This Row],[Date]])+IF(MONTH(Daily_KPI[[#This Row],[Date]])&gt;=4,1,0)</f>
        <v>2026</v>
      </c>
      <c r="C232" s="6">
        <f>YEAR(Daily_KPI[[#This Row],[Date]])</f>
        <v>2025</v>
      </c>
      <c r="D232" s="228">
        <f>Daily_KPI[[#This Row],[Date]]-DAY(Daily_KPI[[#This Row],[Date]])+1</f>
        <v>45962</v>
      </c>
      <c r="E232" s="6">
        <f t="shared" si="16"/>
        <v>30</v>
      </c>
      <c r="F232" s="229" t="str">
        <f>IFERROR(_xlfn.XLOOKUP($A232,'Raw Data'!$A:$A,'Raw Data'!$BR:$BR),"")</f>
        <v/>
      </c>
      <c r="G232" s="230" t="str">
        <f>IFERROR(_xlfn.XLOOKUP($A232,'Raw Data'!$A:$A,'Raw Data'!$AO:$AO),"")</f>
        <v/>
      </c>
      <c r="H232" s="230"/>
      <c r="I232" s="230" t="str">
        <f>IFERROR(_xlfn.XLOOKUP($A232,'Raw Data'!$A:$A,'Raw Data'!$AR:$AR),"")</f>
        <v/>
      </c>
      <c r="J232" s="230"/>
      <c r="K232" s="230" t="str">
        <f>IFERROR(_xlfn.XLOOKUP($A232,'Raw Data'!$A:$A,'Raw Data'!$AV:$AV),"")</f>
        <v/>
      </c>
      <c r="L232" s="230" t="str">
        <f>IFERROR(_xlfn.XLOOKUP($A232,'Raw Data'!$A:$A,'Raw Data'!$AW:$AW),"")</f>
        <v/>
      </c>
      <c r="M232" s="230" t="str">
        <f>IFERROR(_xlfn.XLOOKUP($A232,'Raw Data'!$A:$A,'Raw Data'!$AX:$AX),"")</f>
        <v/>
      </c>
      <c r="N232" s="230" t="str">
        <f>IFERROR(_xlfn.XLOOKUP($A232,'Raw Data'!$A:$A,'Raw Data'!$AY:$AY),"")</f>
        <v/>
      </c>
      <c r="O232" s="231" t="str">
        <f>IFERROR(1-(SUMIF('Plant BD'!$B:$B,A232,'Plant BD'!$AE:$AE)/(AA232+SUMIF('Plant BD'!$B:$B,A232,'Plant BD'!$AE:$AE))),"")</f>
        <v/>
      </c>
      <c r="P232" s="231"/>
      <c r="Q232" s="232"/>
      <c r="R232" s="231" t="str">
        <f>IFERROR(1-(SUMIF('Grid BD'!$B:$B,$A232,'Grid BD'!$AD:$AD)/($AA232+SUMIF('Grid BD'!$B:$B,$A232,'Grid BD'!AD:AD))),"")</f>
        <v/>
      </c>
      <c r="S232" s="6"/>
      <c r="T232" s="232"/>
      <c r="U232" s="233" t="str">
        <f t="shared" si="17"/>
        <v/>
      </c>
      <c r="V232" s="233"/>
      <c r="W232" s="234" t="str">
        <f t="shared" si="15"/>
        <v/>
      </c>
      <c r="X232" s="227" t="str">
        <f>IFERROR(_xlfn.XLOOKUP($A232,'Raw Data'!$A:$A,'Raw Data'!$BA:$BA),"")</f>
        <v/>
      </c>
      <c r="Y232" s="227" t="str">
        <f>IFERROR(_xlfn.XLOOKUP($A232,'Raw Data'!$A:$A,'Raw Data'!BJ:BJ),"")</f>
        <v/>
      </c>
      <c r="Z232" s="227" t="str">
        <f>IFERROR(_xlfn.XLOOKUP($A232,'Raw Data'!$A:$A,'Raw Data'!BK:BK),"")</f>
        <v/>
      </c>
      <c r="AA232" s="227" t="str">
        <f>IFERROR(_xlfn.XLOOKUP($A232,'Raw Data'!$A:$A,'Raw Data'!BL:BL),"")</f>
        <v/>
      </c>
      <c r="AB232" s="227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27">
        <f>IFERROR(_xlfn.XLOOKUP($D232,'Modelling New'!$D:$D,'Modelling New'!$T:$T)*1000,"")</f>
        <v>110013.10061975369</v>
      </c>
      <c r="AE232" s="234">
        <f>IFERROR(_xlfn.XLOOKUP($D232,'Modelling New'!$D:$D,'Modelling New'!$O:$O),"")</f>
        <v>0.70582805765293155</v>
      </c>
      <c r="AF232" s="234">
        <f>IFERROR(_xlfn.XLOOKUP($D232,'Modelling New'!$D:$D,'Modelling New'!$W:$W),"")</f>
        <v>0.18861294207281115</v>
      </c>
      <c r="AG232" s="234">
        <f>IFERROR(_xlfn.XLOOKUP($D232,'Modelling New'!$D:$D,'Modelling New'!AE:AE),"")</f>
        <v>0.995</v>
      </c>
      <c r="AH232" s="234">
        <v>0.99750000000000005</v>
      </c>
      <c r="AI232" s="6"/>
      <c r="AJ232" s="6"/>
      <c r="AK232" s="6"/>
      <c r="AL232" s="6"/>
      <c r="AM232" s="6"/>
      <c r="AN232" s="231"/>
      <c r="AO232" s="234"/>
      <c r="AP232" s="234"/>
      <c r="AQ232" s="234"/>
      <c r="AR232" s="227">
        <f>IFERROR(_xlfn.XLOOKUP($D232,'Modelling New'!$D:$D,'Modelling New'!$N:$N),"")</f>
        <v>24.303100000000001</v>
      </c>
      <c r="AS232" s="227"/>
    </row>
    <row r="233" spans="1:45" x14ac:dyDescent="0.35">
      <c r="A233" s="226">
        <f t="shared" si="18"/>
        <v>45976</v>
      </c>
      <c r="B233" s="227">
        <f>YEAR(Daily_KPI[[#This Row],[Date]])+IF(MONTH(Daily_KPI[[#This Row],[Date]])&gt;=4,1,0)</f>
        <v>2026</v>
      </c>
      <c r="C233" s="6">
        <f>YEAR(Daily_KPI[[#This Row],[Date]])</f>
        <v>2025</v>
      </c>
      <c r="D233" s="228">
        <f>Daily_KPI[[#This Row],[Date]]-DAY(Daily_KPI[[#This Row],[Date]])+1</f>
        <v>45962</v>
      </c>
      <c r="E233" s="6">
        <f t="shared" si="16"/>
        <v>30</v>
      </c>
      <c r="F233" s="229" t="str">
        <f>IFERROR(_xlfn.XLOOKUP($A233,'Raw Data'!$A:$A,'Raw Data'!$BR:$BR),"")</f>
        <v/>
      </c>
      <c r="G233" s="230" t="str">
        <f>IFERROR(_xlfn.XLOOKUP($A233,'Raw Data'!$A:$A,'Raw Data'!$AO:$AO),"")</f>
        <v/>
      </c>
      <c r="H233" s="230"/>
      <c r="I233" s="230" t="str">
        <f>IFERROR(_xlfn.XLOOKUP($A233,'Raw Data'!$A:$A,'Raw Data'!$AR:$AR),"")</f>
        <v/>
      </c>
      <c r="J233" s="230"/>
      <c r="K233" s="230" t="str">
        <f>IFERROR(_xlfn.XLOOKUP($A233,'Raw Data'!$A:$A,'Raw Data'!$AV:$AV),"")</f>
        <v/>
      </c>
      <c r="L233" s="230" t="str">
        <f>IFERROR(_xlfn.XLOOKUP($A233,'Raw Data'!$A:$A,'Raw Data'!$AW:$AW),"")</f>
        <v/>
      </c>
      <c r="M233" s="230" t="str">
        <f>IFERROR(_xlfn.XLOOKUP($A233,'Raw Data'!$A:$A,'Raw Data'!$AX:$AX),"")</f>
        <v/>
      </c>
      <c r="N233" s="230" t="str">
        <f>IFERROR(_xlfn.XLOOKUP($A233,'Raw Data'!$A:$A,'Raw Data'!$AY:$AY),"")</f>
        <v/>
      </c>
      <c r="O233" s="231" t="str">
        <f>IFERROR(1-(SUMIF('Plant BD'!$B:$B,A233,'Plant BD'!$AE:$AE)/(AA233+SUMIF('Plant BD'!$B:$B,A233,'Plant BD'!$AE:$AE))),"")</f>
        <v/>
      </c>
      <c r="P233" s="231"/>
      <c r="Q233" s="232"/>
      <c r="R233" s="231" t="str">
        <f>IFERROR(1-(SUMIF('Grid BD'!$B:$B,$A233,'Grid BD'!$AD:$AD)/($AA233+SUMIF('Grid BD'!$B:$B,$A233,'Grid BD'!AD:AD))),"")</f>
        <v/>
      </c>
      <c r="S233" s="6"/>
      <c r="T233" s="232"/>
      <c r="U233" s="233" t="str">
        <f t="shared" si="17"/>
        <v/>
      </c>
      <c r="V233" s="233"/>
      <c r="W233" s="234" t="str">
        <f t="shared" si="15"/>
        <v/>
      </c>
      <c r="X233" s="227" t="str">
        <f>IFERROR(_xlfn.XLOOKUP($A233,'Raw Data'!$A:$A,'Raw Data'!$BA:$BA),"")</f>
        <v/>
      </c>
      <c r="Y233" s="227" t="str">
        <f>IFERROR(_xlfn.XLOOKUP($A233,'Raw Data'!$A:$A,'Raw Data'!BJ:BJ),"")</f>
        <v/>
      </c>
      <c r="Z233" s="227" t="str">
        <f>IFERROR(_xlfn.XLOOKUP($A233,'Raw Data'!$A:$A,'Raw Data'!BK:BK),"")</f>
        <v/>
      </c>
      <c r="AA233" s="227" t="str">
        <f>IFERROR(_xlfn.XLOOKUP($A233,'Raw Data'!$A:$A,'Raw Data'!BL:BL),"")</f>
        <v/>
      </c>
      <c r="AB233" s="227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27">
        <f>IFERROR(_xlfn.XLOOKUP($D233,'Modelling New'!$D:$D,'Modelling New'!$T:$T)*1000,"")</f>
        <v>110013.10061975369</v>
      </c>
      <c r="AE233" s="234">
        <f>IFERROR(_xlfn.XLOOKUP($D233,'Modelling New'!$D:$D,'Modelling New'!$O:$O),"")</f>
        <v>0.70582805765293155</v>
      </c>
      <c r="AF233" s="234">
        <f>IFERROR(_xlfn.XLOOKUP($D233,'Modelling New'!$D:$D,'Modelling New'!$W:$W),"")</f>
        <v>0.18861294207281115</v>
      </c>
      <c r="AG233" s="234">
        <f>IFERROR(_xlfn.XLOOKUP($D233,'Modelling New'!$D:$D,'Modelling New'!AE:AE),"")</f>
        <v>0.995</v>
      </c>
      <c r="AH233" s="234">
        <v>0.99750000000000005</v>
      </c>
      <c r="AI233" s="6"/>
      <c r="AJ233" s="6"/>
      <c r="AK233" s="6"/>
      <c r="AL233" s="6"/>
      <c r="AM233" s="6"/>
      <c r="AN233" s="231"/>
      <c r="AO233" s="234"/>
      <c r="AP233" s="234"/>
      <c r="AQ233" s="234"/>
      <c r="AR233" s="227">
        <f>IFERROR(_xlfn.XLOOKUP($D233,'Modelling New'!$D:$D,'Modelling New'!$N:$N),"")</f>
        <v>24.303100000000001</v>
      </c>
      <c r="AS233" s="227"/>
    </row>
    <row r="234" spans="1:45" x14ac:dyDescent="0.35">
      <c r="A234" s="226">
        <f t="shared" si="18"/>
        <v>45977</v>
      </c>
      <c r="B234" s="227">
        <f>YEAR(Daily_KPI[[#This Row],[Date]])+IF(MONTH(Daily_KPI[[#This Row],[Date]])&gt;=4,1,0)</f>
        <v>2026</v>
      </c>
      <c r="C234" s="6">
        <f>YEAR(Daily_KPI[[#This Row],[Date]])</f>
        <v>2025</v>
      </c>
      <c r="D234" s="228">
        <f>Daily_KPI[[#This Row],[Date]]-DAY(Daily_KPI[[#This Row],[Date]])+1</f>
        <v>45962</v>
      </c>
      <c r="E234" s="6">
        <f t="shared" si="16"/>
        <v>30</v>
      </c>
      <c r="F234" s="229" t="str">
        <f>IFERROR(_xlfn.XLOOKUP($A234,'Raw Data'!$A:$A,'Raw Data'!$BR:$BR),"")</f>
        <v/>
      </c>
      <c r="G234" s="230" t="str">
        <f>IFERROR(_xlfn.XLOOKUP($A234,'Raw Data'!$A:$A,'Raw Data'!$AO:$AO),"")</f>
        <v/>
      </c>
      <c r="H234" s="230"/>
      <c r="I234" s="230" t="str">
        <f>IFERROR(_xlfn.XLOOKUP($A234,'Raw Data'!$A:$A,'Raw Data'!$AR:$AR),"")</f>
        <v/>
      </c>
      <c r="J234" s="230"/>
      <c r="K234" s="230" t="str">
        <f>IFERROR(_xlfn.XLOOKUP($A234,'Raw Data'!$A:$A,'Raw Data'!$AV:$AV),"")</f>
        <v/>
      </c>
      <c r="L234" s="230" t="str">
        <f>IFERROR(_xlfn.XLOOKUP($A234,'Raw Data'!$A:$A,'Raw Data'!$AW:$AW),"")</f>
        <v/>
      </c>
      <c r="M234" s="230" t="str">
        <f>IFERROR(_xlfn.XLOOKUP($A234,'Raw Data'!$A:$A,'Raw Data'!$AX:$AX),"")</f>
        <v/>
      </c>
      <c r="N234" s="230" t="str">
        <f>IFERROR(_xlfn.XLOOKUP($A234,'Raw Data'!$A:$A,'Raw Data'!$AY:$AY),"")</f>
        <v/>
      </c>
      <c r="O234" s="231" t="str">
        <f>IFERROR(1-(SUMIF('Plant BD'!$B:$B,A234,'Plant BD'!$AE:$AE)/(AA234+SUMIF('Plant BD'!$B:$B,A234,'Plant BD'!$AE:$AE))),"")</f>
        <v/>
      </c>
      <c r="P234" s="231"/>
      <c r="Q234" s="232"/>
      <c r="R234" s="231" t="str">
        <f>IFERROR(1-(SUMIF('Grid BD'!$B:$B,$A234,'Grid BD'!$AD:$AD)/($AA234+SUMIF('Grid BD'!$B:$B,$A234,'Grid BD'!AD:AD))),"")</f>
        <v/>
      </c>
      <c r="S234" s="6"/>
      <c r="T234" s="232"/>
      <c r="U234" s="233" t="str">
        <f t="shared" si="17"/>
        <v/>
      </c>
      <c r="V234" s="233"/>
      <c r="W234" s="234" t="str">
        <f t="shared" si="15"/>
        <v/>
      </c>
      <c r="X234" s="227" t="str">
        <f>IFERROR(_xlfn.XLOOKUP($A234,'Raw Data'!$A:$A,'Raw Data'!$BA:$BA),"")</f>
        <v/>
      </c>
      <c r="Y234" s="227" t="str">
        <f>IFERROR(_xlfn.XLOOKUP($A234,'Raw Data'!$A:$A,'Raw Data'!BJ:BJ),"")</f>
        <v/>
      </c>
      <c r="Z234" s="227" t="str">
        <f>IFERROR(_xlfn.XLOOKUP($A234,'Raw Data'!$A:$A,'Raw Data'!BK:BK),"")</f>
        <v/>
      </c>
      <c r="AA234" s="227" t="str">
        <f>IFERROR(_xlfn.XLOOKUP($A234,'Raw Data'!$A:$A,'Raw Data'!BL:BL),"")</f>
        <v/>
      </c>
      <c r="AB234" s="227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27">
        <f>IFERROR(_xlfn.XLOOKUP($D234,'Modelling New'!$D:$D,'Modelling New'!$T:$T)*1000,"")</f>
        <v>110013.10061975369</v>
      </c>
      <c r="AE234" s="234">
        <f>IFERROR(_xlfn.XLOOKUP($D234,'Modelling New'!$D:$D,'Modelling New'!$O:$O),"")</f>
        <v>0.70582805765293155</v>
      </c>
      <c r="AF234" s="234">
        <f>IFERROR(_xlfn.XLOOKUP($D234,'Modelling New'!$D:$D,'Modelling New'!$W:$W),"")</f>
        <v>0.18861294207281115</v>
      </c>
      <c r="AG234" s="234">
        <f>IFERROR(_xlfn.XLOOKUP($D234,'Modelling New'!$D:$D,'Modelling New'!AE:AE),"")</f>
        <v>0.995</v>
      </c>
      <c r="AH234" s="234">
        <v>0.99750000000000005</v>
      </c>
      <c r="AI234" s="6"/>
      <c r="AJ234" s="6"/>
      <c r="AK234" s="6"/>
      <c r="AL234" s="6"/>
      <c r="AM234" s="6"/>
      <c r="AN234" s="231"/>
      <c r="AO234" s="234"/>
      <c r="AP234" s="234"/>
      <c r="AQ234" s="234"/>
      <c r="AR234" s="227">
        <f>IFERROR(_xlfn.XLOOKUP($D234,'Modelling New'!$D:$D,'Modelling New'!$N:$N),"")</f>
        <v>24.303100000000001</v>
      </c>
      <c r="AS234" s="227"/>
    </row>
    <row r="235" spans="1:45" x14ac:dyDescent="0.35">
      <c r="A235" s="226">
        <f t="shared" si="18"/>
        <v>45978</v>
      </c>
      <c r="B235" s="227">
        <f>YEAR(Daily_KPI[[#This Row],[Date]])+IF(MONTH(Daily_KPI[[#This Row],[Date]])&gt;=4,1,0)</f>
        <v>2026</v>
      </c>
      <c r="C235" s="6">
        <f>YEAR(Daily_KPI[[#This Row],[Date]])</f>
        <v>2025</v>
      </c>
      <c r="D235" s="228">
        <f>Daily_KPI[[#This Row],[Date]]-DAY(Daily_KPI[[#This Row],[Date]])+1</f>
        <v>45962</v>
      </c>
      <c r="E235" s="6">
        <f t="shared" si="16"/>
        <v>30</v>
      </c>
      <c r="F235" s="229" t="str">
        <f>IFERROR(_xlfn.XLOOKUP($A235,'Raw Data'!$A:$A,'Raw Data'!$BR:$BR),"")</f>
        <v/>
      </c>
      <c r="G235" s="230" t="str">
        <f>IFERROR(_xlfn.XLOOKUP($A235,'Raw Data'!$A:$A,'Raw Data'!$AO:$AO),"")</f>
        <v/>
      </c>
      <c r="H235" s="230"/>
      <c r="I235" s="230" t="str">
        <f>IFERROR(_xlfn.XLOOKUP($A235,'Raw Data'!$A:$A,'Raw Data'!$AR:$AR),"")</f>
        <v/>
      </c>
      <c r="J235" s="230"/>
      <c r="K235" s="230" t="str">
        <f>IFERROR(_xlfn.XLOOKUP($A235,'Raw Data'!$A:$A,'Raw Data'!$AV:$AV),"")</f>
        <v/>
      </c>
      <c r="L235" s="230" t="str">
        <f>IFERROR(_xlfn.XLOOKUP($A235,'Raw Data'!$A:$A,'Raw Data'!$AW:$AW),"")</f>
        <v/>
      </c>
      <c r="M235" s="230" t="str">
        <f>IFERROR(_xlfn.XLOOKUP($A235,'Raw Data'!$A:$A,'Raw Data'!$AX:$AX),"")</f>
        <v/>
      </c>
      <c r="N235" s="230" t="str">
        <f>IFERROR(_xlfn.XLOOKUP($A235,'Raw Data'!$A:$A,'Raw Data'!$AY:$AY),"")</f>
        <v/>
      </c>
      <c r="O235" s="231" t="str">
        <f>IFERROR(1-(SUMIF('Plant BD'!$B:$B,A235,'Plant BD'!$AE:$AE)/(AA235+SUMIF('Plant BD'!$B:$B,A235,'Plant BD'!$AE:$AE))),"")</f>
        <v/>
      </c>
      <c r="P235" s="231"/>
      <c r="Q235" s="232"/>
      <c r="R235" s="231" t="str">
        <f>IFERROR(1-(SUMIF('Grid BD'!$B:$B,$A235,'Grid BD'!$AD:$AD)/($AA235+SUMIF('Grid BD'!$B:$B,$A235,'Grid BD'!AD:AD))),"")</f>
        <v/>
      </c>
      <c r="S235" s="6"/>
      <c r="T235" s="232"/>
      <c r="U235" s="233" t="str">
        <f t="shared" si="17"/>
        <v/>
      </c>
      <c r="V235" s="233"/>
      <c r="W235" s="234" t="str">
        <f t="shared" ref="W235:W298" si="19">IFERROR(AA235/(24*AR235*1000),"")</f>
        <v/>
      </c>
      <c r="X235" s="227" t="str">
        <f>IFERROR(_xlfn.XLOOKUP($A235,'Raw Data'!$A:$A,'Raw Data'!$BA:$BA),"")</f>
        <v/>
      </c>
      <c r="Y235" s="227" t="str">
        <f>IFERROR(_xlfn.XLOOKUP($A235,'Raw Data'!$A:$A,'Raw Data'!BJ:BJ),"")</f>
        <v/>
      </c>
      <c r="Z235" s="227" t="str">
        <f>IFERROR(_xlfn.XLOOKUP($A235,'Raw Data'!$A:$A,'Raw Data'!BK:BK),"")</f>
        <v/>
      </c>
      <c r="AA235" s="227" t="str">
        <f>IFERROR(_xlfn.XLOOKUP($A235,'Raw Data'!$A:$A,'Raw Data'!BL:BL),"")</f>
        <v/>
      </c>
      <c r="AB235" s="227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27">
        <f>IFERROR(_xlfn.XLOOKUP($D235,'Modelling New'!$D:$D,'Modelling New'!$T:$T)*1000,"")</f>
        <v>110013.10061975369</v>
      </c>
      <c r="AE235" s="234">
        <f>IFERROR(_xlfn.XLOOKUP($D235,'Modelling New'!$D:$D,'Modelling New'!$O:$O),"")</f>
        <v>0.70582805765293155</v>
      </c>
      <c r="AF235" s="234">
        <f>IFERROR(_xlfn.XLOOKUP($D235,'Modelling New'!$D:$D,'Modelling New'!$W:$W),"")</f>
        <v>0.18861294207281115</v>
      </c>
      <c r="AG235" s="234">
        <f>IFERROR(_xlfn.XLOOKUP($D235,'Modelling New'!$D:$D,'Modelling New'!AE:AE),"")</f>
        <v>0.995</v>
      </c>
      <c r="AH235" s="234">
        <v>0.99750000000000005</v>
      </c>
      <c r="AI235" s="6"/>
      <c r="AJ235" s="6"/>
      <c r="AK235" s="6"/>
      <c r="AL235" s="6"/>
      <c r="AM235" s="6"/>
      <c r="AN235" s="231"/>
      <c r="AO235" s="234"/>
      <c r="AP235" s="234"/>
      <c r="AQ235" s="234"/>
      <c r="AR235" s="227">
        <f>IFERROR(_xlfn.XLOOKUP($D235,'Modelling New'!$D:$D,'Modelling New'!$N:$N),"")</f>
        <v>24.303100000000001</v>
      </c>
      <c r="AS235" s="227"/>
    </row>
    <row r="236" spans="1:45" x14ac:dyDescent="0.35">
      <c r="A236" s="226">
        <f t="shared" si="18"/>
        <v>45979</v>
      </c>
      <c r="B236" s="227">
        <f>YEAR(Daily_KPI[[#This Row],[Date]])+IF(MONTH(Daily_KPI[[#This Row],[Date]])&gt;=4,1,0)</f>
        <v>2026</v>
      </c>
      <c r="C236" s="6">
        <f>YEAR(Daily_KPI[[#This Row],[Date]])</f>
        <v>2025</v>
      </c>
      <c r="D236" s="228">
        <f>Daily_KPI[[#This Row],[Date]]-DAY(Daily_KPI[[#This Row],[Date]])+1</f>
        <v>45962</v>
      </c>
      <c r="E236" s="6">
        <f t="shared" si="16"/>
        <v>30</v>
      </c>
      <c r="F236" s="229" t="str">
        <f>IFERROR(_xlfn.XLOOKUP($A236,'Raw Data'!$A:$A,'Raw Data'!$BR:$BR),"")</f>
        <v/>
      </c>
      <c r="G236" s="230" t="str">
        <f>IFERROR(_xlfn.XLOOKUP($A236,'Raw Data'!$A:$A,'Raw Data'!$AO:$AO),"")</f>
        <v/>
      </c>
      <c r="H236" s="230"/>
      <c r="I236" s="230" t="str">
        <f>IFERROR(_xlfn.XLOOKUP($A236,'Raw Data'!$A:$A,'Raw Data'!$AR:$AR),"")</f>
        <v/>
      </c>
      <c r="J236" s="230"/>
      <c r="K236" s="230" t="str">
        <f>IFERROR(_xlfn.XLOOKUP($A236,'Raw Data'!$A:$A,'Raw Data'!$AV:$AV),"")</f>
        <v/>
      </c>
      <c r="L236" s="230" t="str">
        <f>IFERROR(_xlfn.XLOOKUP($A236,'Raw Data'!$A:$A,'Raw Data'!$AW:$AW),"")</f>
        <v/>
      </c>
      <c r="M236" s="230" t="str">
        <f>IFERROR(_xlfn.XLOOKUP($A236,'Raw Data'!$A:$A,'Raw Data'!$AX:$AX),"")</f>
        <v/>
      </c>
      <c r="N236" s="230" t="str">
        <f>IFERROR(_xlfn.XLOOKUP($A236,'Raw Data'!$A:$A,'Raw Data'!$AY:$AY),"")</f>
        <v/>
      </c>
      <c r="O236" s="231" t="str">
        <f>IFERROR(1-(SUMIF('Plant BD'!$B:$B,A236,'Plant BD'!$AE:$AE)/(AA236+SUMIF('Plant BD'!$B:$B,A236,'Plant BD'!$AE:$AE))),"")</f>
        <v/>
      </c>
      <c r="P236" s="231"/>
      <c r="Q236" s="232"/>
      <c r="R236" s="231" t="str">
        <f>IFERROR(1-(SUMIF('Grid BD'!$B:$B,$A236,'Grid BD'!$AD:$AD)/($AA236+SUMIF('Grid BD'!$B:$B,$A236,'Grid BD'!AD:AD))),"")</f>
        <v/>
      </c>
      <c r="S236" s="6"/>
      <c r="T236" s="232"/>
      <c r="U236" s="233" t="str">
        <f t="shared" si="17"/>
        <v/>
      </c>
      <c r="V236" s="233"/>
      <c r="W236" s="234" t="str">
        <f t="shared" si="19"/>
        <v/>
      </c>
      <c r="X236" s="227" t="str">
        <f>IFERROR(_xlfn.XLOOKUP($A236,'Raw Data'!$A:$A,'Raw Data'!$BA:$BA),"")</f>
        <v/>
      </c>
      <c r="Y236" s="227" t="str">
        <f>IFERROR(_xlfn.XLOOKUP($A236,'Raw Data'!$A:$A,'Raw Data'!BJ:BJ),"")</f>
        <v/>
      </c>
      <c r="Z236" s="227" t="str">
        <f>IFERROR(_xlfn.XLOOKUP($A236,'Raw Data'!$A:$A,'Raw Data'!BK:BK),"")</f>
        <v/>
      </c>
      <c r="AA236" s="227" t="str">
        <f>IFERROR(_xlfn.XLOOKUP($A236,'Raw Data'!$A:$A,'Raw Data'!BL:BL),"")</f>
        <v/>
      </c>
      <c r="AB236" s="227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27">
        <f>IFERROR(_xlfn.XLOOKUP($D236,'Modelling New'!$D:$D,'Modelling New'!$T:$T)*1000,"")</f>
        <v>110013.10061975369</v>
      </c>
      <c r="AE236" s="234">
        <f>IFERROR(_xlfn.XLOOKUP($D236,'Modelling New'!$D:$D,'Modelling New'!$O:$O),"")</f>
        <v>0.70582805765293155</v>
      </c>
      <c r="AF236" s="234">
        <f>IFERROR(_xlfn.XLOOKUP($D236,'Modelling New'!$D:$D,'Modelling New'!$W:$W),"")</f>
        <v>0.18861294207281115</v>
      </c>
      <c r="AG236" s="234">
        <f>IFERROR(_xlfn.XLOOKUP($D236,'Modelling New'!$D:$D,'Modelling New'!AE:AE),"")</f>
        <v>0.995</v>
      </c>
      <c r="AH236" s="234">
        <v>0.99750000000000005</v>
      </c>
      <c r="AI236" s="6"/>
      <c r="AJ236" s="6"/>
      <c r="AK236" s="6"/>
      <c r="AL236" s="6"/>
      <c r="AM236" s="6"/>
      <c r="AN236" s="231"/>
      <c r="AO236" s="234"/>
      <c r="AP236" s="234"/>
      <c r="AQ236" s="234"/>
      <c r="AR236" s="227">
        <f>IFERROR(_xlfn.XLOOKUP($D236,'Modelling New'!$D:$D,'Modelling New'!$N:$N),"")</f>
        <v>24.303100000000001</v>
      </c>
      <c r="AS236" s="227"/>
    </row>
    <row r="237" spans="1:45" x14ac:dyDescent="0.35">
      <c r="A237" s="226">
        <f t="shared" si="18"/>
        <v>45980</v>
      </c>
      <c r="B237" s="227">
        <f>YEAR(Daily_KPI[[#This Row],[Date]])+IF(MONTH(Daily_KPI[[#This Row],[Date]])&gt;=4,1,0)</f>
        <v>2026</v>
      </c>
      <c r="C237" s="6">
        <f>YEAR(Daily_KPI[[#This Row],[Date]])</f>
        <v>2025</v>
      </c>
      <c r="D237" s="228">
        <f>Daily_KPI[[#This Row],[Date]]-DAY(Daily_KPI[[#This Row],[Date]])+1</f>
        <v>45962</v>
      </c>
      <c r="E237" s="6">
        <f t="shared" si="16"/>
        <v>30</v>
      </c>
      <c r="F237" s="229" t="str">
        <f>IFERROR(_xlfn.XLOOKUP($A237,'Raw Data'!$A:$A,'Raw Data'!$BR:$BR),"")</f>
        <v/>
      </c>
      <c r="G237" s="230" t="str">
        <f>IFERROR(_xlfn.XLOOKUP($A237,'Raw Data'!$A:$A,'Raw Data'!$AO:$AO),"")</f>
        <v/>
      </c>
      <c r="H237" s="230"/>
      <c r="I237" s="230" t="str">
        <f>IFERROR(_xlfn.XLOOKUP($A237,'Raw Data'!$A:$A,'Raw Data'!$AR:$AR),"")</f>
        <v/>
      </c>
      <c r="J237" s="230"/>
      <c r="K237" s="230" t="str">
        <f>IFERROR(_xlfn.XLOOKUP($A237,'Raw Data'!$A:$A,'Raw Data'!$AV:$AV),"")</f>
        <v/>
      </c>
      <c r="L237" s="230" t="str">
        <f>IFERROR(_xlfn.XLOOKUP($A237,'Raw Data'!$A:$A,'Raw Data'!$AW:$AW),"")</f>
        <v/>
      </c>
      <c r="M237" s="230" t="str">
        <f>IFERROR(_xlfn.XLOOKUP($A237,'Raw Data'!$A:$A,'Raw Data'!$AX:$AX),"")</f>
        <v/>
      </c>
      <c r="N237" s="230" t="str">
        <f>IFERROR(_xlfn.XLOOKUP($A237,'Raw Data'!$A:$A,'Raw Data'!$AY:$AY),"")</f>
        <v/>
      </c>
      <c r="O237" s="231" t="str">
        <f>IFERROR(1-(SUMIF('Plant BD'!$B:$B,A237,'Plant BD'!$AE:$AE)/(AA237+SUMIF('Plant BD'!$B:$B,A237,'Plant BD'!$AE:$AE))),"")</f>
        <v/>
      </c>
      <c r="P237" s="231"/>
      <c r="Q237" s="232"/>
      <c r="R237" s="231" t="str">
        <f>IFERROR(1-(SUMIF('Grid BD'!$B:$B,$A237,'Grid BD'!$AD:$AD)/($AA237+SUMIF('Grid BD'!$B:$B,$A237,'Grid BD'!AD:AD))),"")</f>
        <v/>
      </c>
      <c r="S237" s="6"/>
      <c r="T237" s="232"/>
      <c r="U237" s="233" t="str">
        <f t="shared" si="17"/>
        <v/>
      </c>
      <c r="V237" s="233"/>
      <c r="W237" s="234" t="str">
        <f t="shared" si="19"/>
        <v/>
      </c>
      <c r="X237" s="227" t="str">
        <f>IFERROR(_xlfn.XLOOKUP($A237,'Raw Data'!$A:$A,'Raw Data'!$BA:$BA),"")</f>
        <v/>
      </c>
      <c r="Y237" s="227" t="str">
        <f>IFERROR(_xlfn.XLOOKUP($A237,'Raw Data'!$A:$A,'Raw Data'!BJ:BJ),"")</f>
        <v/>
      </c>
      <c r="Z237" s="227" t="str">
        <f>IFERROR(_xlfn.XLOOKUP($A237,'Raw Data'!$A:$A,'Raw Data'!BK:BK),"")</f>
        <v/>
      </c>
      <c r="AA237" s="227" t="str">
        <f>IFERROR(_xlfn.XLOOKUP($A237,'Raw Data'!$A:$A,'Raw Data'!BL:BL),"")</f>
        <v/>
      </c>
      <c r="AB237" s="227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27">
        <f>IFERROR(_xlfn.XLOOKUP($D237,'Modelling New'!$D:$D,'Modelling New'!$T:$T)*1000,"")</f>
        <v>110013.10061975369</v>
      </c>
      <c r="AE237" s="234">
        <f>IFERROR(_xlfn.XLOOKUP($D237,'Modelling New'!$D:$D,'Modelling New'!$O:$O),"")</f>
        <v>0.70582805765293155</v>
      </c>
      <c r="AF237" s="234">
        <f>IFERROR(_xlfn.XLOOKUP($D237,'Modelling New'!$D:$D,'Modelling New'!$W:$W),"")</f>
        <v>0.18861294207281115</v>
      </c>
      <c r="AG237" s="234">
        <f>IFERROR(_xlfn.XLOOKUP($D237,'Modelling New'!$D:$D,'Modelling New'!AE:AE),"")</f>
        <v>0.995</v>
      </c>
      <c r="AH237" s="234">
        <v>0.99750000000000005</v>
      </c>
      <c r="AI237" s="6"/>
      <c r="AJ237" s="6"/>
      <c r="AK237" s="6"/>
      <c r="AL237" s="6"/>
      <c r="AM237" s="6"/>
      <c r="AN237" s="231"/>
      <c r="AO237" s="234"/>
      <c r="AP237" s="234"/>
      <c r="AQ237" s="234"/>
      <c r="AR237" s="227">
        <f>IFERROR(_xlfn.XLOOKUP($D237,'Modelling New'!$D:$D,'Modelling New'!$N:$N),"")</f>
        <v>24.303100000000001</v>
      </c>
      <c r="AS237" s="227"/>
    </row>
    <row r="238" spans="1:45" x14ac:dyDescent="0.35">
      <c r="A238" s="226">
        <f t="shared" si="18"/>
        <v>45981</v>
      </c>
      <c r="B238" s="227">
        <f>YEAR(Daily_KPI[[#This Row],[Date]])+IF(MONTH(Daily_KPI[[#This Row],[Date]])&gt;=4,1,0)</f>
        <v>2026</v>
      </c>
      <c r="C238" s="6">
        <f>YEAR(Daily_KPI[[#This Row],[Date]])</f>
        <v>2025</v>
      </c>
      <c r="D238" s="228">
        <f>Daily_KPI[[#This Row],[Date]]-DAY(Daily_KPI[[#This Row],[Date]])+1</f>
        <v>45962</v>
      </c>
      <c r="E238" s="6">
        <f t="shared" si="16"/>
        <v>30</v>
      </c>
      <c r="F238" s="229" t="str">
        <f>IFERROR(_xlfn.XLOOKUP($A238,'Raw Data'!$A:$A,'Raw Data'!$BR:$BR),"")</f>
        <v/>
      </c>
      <c r="G238" s="230" t="str">
        <f>IFERROR(_xlfn.XLOOKUP($A238,'Raw Data'!$A:$A,'Raw Data'!$AO:$AO),"")</f>
        <v/>
      </c>
      <c r="H238" s="230"/>
      <c r="I238" s="230" t="str">
        <f>IFERROR(_xlfn.XLOOKUP($A238,'Raw Data'!$A:$A,'Raw Data'!$AR:$AR),"")</f>
        <v/>
      </c>
      <c r="J238" s="230"/>
      <c r="K238" s="230" t="str">
        <f>IFERROR(_xlfn.XLOOKUP($A238,'Raw Data'!$A:$A,'Raw Data'!$AV:$AV),"")</f>
        <v/>
      </c>
      <c r="L238" s="230" t="str">
        <f>IFERROR(_xlfn.XLOOKUP($A238,'Raw Data'!$A:$A,'Raw Data'!$AW:$AW),"")</f>
        <v/>
      </c>
      <c r="M238" s="230" t="str">
        <f>IFERROR(_xlfn.XLOOKUP($A238,'Raw Data'!$A:$A,'Raw Data'!$AX:$AX),"")</f>
        <v/>
      </c>
      <c r="N238" s="230" t="str">
        <f>IFERROR(_xlfn.XLOOKUP($A238,'Raw Data'!$A:$A,'Raw Data'!$AY:$AY),"")</f>
        <v/>
      </c>
      <c r="O238" s="231" t="str">
        <f>IFERROR(1-(SUMIF('Plant BD'!$B:$B,A238,'Plant BD'!$AE:$AE)/(AA238+SUMIF('Plant BD'!$B:$B,A238,'Plant BD'!$AE:$AE))),"")</f>
        <v/>
      </c>
      <c r="P238" s="231"/>
      <c r="Q238" s="232"/>
      <c r="R238" s="231" t="str">
        <f>IFERROR(1-(SUMIF('Grid BD'!$B:$B,$A238,'Grid BD'!$AD:$AD)/($AA238+SUMIF('Grid BD'!$B:$B,$A238,'Grid BD'!AD:AD))),"")</f>
        <v/>
      </c>
      <c r="S238" s="6"/>
      <c r="T238" s="232"/>
      <c r="U238" s="233" t="str">
        <f t="shared" si="17"/>
        <v/>
      </c>
      <c r="V238" s="233"/>
      <c r="W238" s="234" t="str">
        <f t="shared" si="19"/>
        <v/>
      </c>
      <c r="X238" s="227" t="str">
        <f>IFERROR(_xlfn.XLOOKUP($A238,'Raw Data'!$A:$A,'Raw Data'!$BA:$BA),"")</f>
        <v/>
      </c>
      <c r="Y238" s="227" t="str">
        <f>IFERROR(_xlfn.XLOOKUP($A238,'Raw Data'!$A:$A,'Raw Data'!BJ:BJ),"")</f>
        <v/>
      </c>
      <c r="Z238" s="227" t="str">
        <f>IFERROR(_xlfn.XLOOKUP($A238,'Raw Data'!$A:$A,'Raw Data'!BK:BK),"")</f>
        <v/>
      </c>
      <c r="AA238" s="227" t="str">
        <f>IFERROR(_xlfn.XLOOKUP($A238,'Raw Data'!$A:$A,'Raw Data'!BL:BL),"")</f>
        <v/>
      </c>
      <c r="AB238" s="227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27">
        <f>IFERROR(_xlfn.XLOOKUP($D238,'Modelling New'!$D:$D,'Modelling New'!$T:$T)*1000,"")</f>
        <v>110013.10061975369</v>
      </c>
      <c r="AE238" s="234">
        <f>IFERROR(_xlfn.XLOOKUP($D238,'Modelling New'!$D:$D,'Modelling New'!$O:$O),"")</f>
        <v>0.70582805765293155</v>
      </c>
      <c r="AF238" s="234">
        <f>IFERROR(_xlfn.XLOOKUP($D238,'Modelling New'!$D:$D,'Modelling New'!$W:$W),"")</f>
        <v>0.18861294207281115</v>
      </c>
      <c r="AG238" s="234">
        <f>IFERROR(_xlfn.XLOOKUP($D238,'Modelling New'!$D:$D,'Modelling New'!AE:AE),"")</f>
        <v>0.995</v>
      </c>
      <c r="AH238" s="234">
        <v>0.99750000000000005</v>
      </c>
      <c r="AI238" s="6"/>
      <c r="AJ238" s="6"/>
      <c r="AK238" s="6"/>
      <c r="AL238" s="6"/>
      <c r="AM238" s="6"/>
      <c r="AN238" s="231"/>
      <c r="AO238" s="234"/>
      <c r="AP238" s="234"/>
      <c r="AQ238" s="234"/>
      <c r="AR238" s="227">
        <f>IFERROR(_xlfn.XLOOKUP($D238,'Modelling New'!$D:$D,'Modelling New'!$N:$N),"")</f>
        <v>24.303100000000001</v>
      </c>
      <c r="AS238" s="227"/>
    </row>
    <row r="239" spans="1:45" x14ac:dyDescent="0.35">
      <c r="A239" s="226">
        <f t="shared" si="18"/>
        <v>45982</v>
      </c>
      <c r="B239" s="227">
        <f>YEAR(Daily_KPI[[#This Row],[Date]])+IF(MONTH(Daily_KPI[[#This Row],[Date]])&gt;=4,1,0)</f>
        <v>2026</v>
      </c>
      <c r="C239" s="6">
        <f>YEAR(Daily_KPI[[#This Row],[Date]])</f>
        <v>2025</v>
      </c>
      <c r="D239" s="228">
        <f>Daily_KPI[[#This Row],[Date]]-DAY(Daily_KPI[[#This Row],[Date]])+1</f>
        <v>45962</v>
      </c>
      <c r="E239" s="6">
        <f t="shared" si="16"/>
        <v>30</v>
      </c>
      <c r="F239" s="229" t="str">
        <f>IFERROR(_xlfn.XLOOKUP($A239,'Raw Data'!$A:$A,'Raw Data'!$BR:$BR),"")</f>
        <v/>
      </c>
      <c r="G239" s="230" t="str">
        <f>IFERROR(_xlfn.XLOOKUP($A239,'Raw Data'!$A:$A,'Raw Data'!$AO:$AO),"")</f>
        <v/>
      </c>
      <c r="H239" s="230"/>
      <c r="I239" s="230" t="str">
        <f>IFERROR(_xlfn.XLOOKUP($A239,'Raw Data'!$A:$A,'Raw Data'!$AR:$AR),"")</f>
        <v/>
      </c>
      <c r="J239" s="230"/>
      <c r="K239" s="230" t="str">
        <f>IFERROR(_xlfn.XLOOKUP($A239,'Raw Data'!$A:$A,'Raw Data'!$AV:$AV),"")</f>
        <v/>
      </c>
      <c r="L239" s="230" t="str">
        <f>IFERROR(_xlfn.XLOOKUP($A239,'Raw Data'!$A:$A,'Raw Data'!$AW:$AW),"")</f>
        <v/>
      </c>
      <c r="M239" s="230" t="str">
        <f>IFERROR(_xlfn.XLOOKUP($A239,'Raw Data'!$A:$A,'Raw Data'!$AX:$AX),"")</f>
        <v/>
      </c>
      <c r="N239" s="230" t="str">
        <f>IFERROR(_xlfn.XLOOKUP($A239,'Raw Data'!$A:$A,'Raw Data'!$AY:$AY),"")</f>
        <v/>
      </c>
      <c r="O239" s="231" t="str">
        <f>IFERROR(1-(SUMIF('Plant BD'!$B:$B,A239,'Plant BD'!$AE:$AE)/(AA239+SUMIF('Plant BD'!$B:$B,A239,'Plant BD'!$AE:$AE))),"")</f>
        <v/>
      </c>
      <c r="P239" s="231"/>
      <c r="Q239" s="232"/>
      <c r="R239" s="231" t="str">
        <f>IFERROR(1-(SUMIF('Grid BD'!$B:$B,$A239,'Grid BD'!$AD:$AD)/($AA239+SUMIF('Grid BD'!$B:$B,$A239,'Grid BD'!AD:AD))),"")</f>
        <v/>
      </c>
      <c r="S239" s="6"/>
      <c r="T239" s="232"/>
      <c r="U239" s="233" t="str">
        <f t="shared" si="17"/>
        <v/>
      </c>
      <c r="V239" s="233"/>
      <c r="W239" s="234" t="str">
        <f t="shared" si="19"/>
        <v/>
      </c>
      <c r="X239" s="227" t="str">
        <f>IFERROR(_xlfn.XLOOKUP($A239,'Raw Data'!$A:$A,'Raw Data'!$BA:$BA),"")</f>
        <v/>
      </c>
      <c r="Y239" s="227" t="str">
        <f>IFERROR(_xlfn.XLOOKUP($A239,'Raw Data'!$A:$A,'Raw Data'!BJ:BJ),"")</f>
        <v/>
      </c>
      <c r="Z239" s="227" t="str">
        <f>IFERROR(_xlfn.XLOOKUP($A239,'Raw Data'!$A:$A,'Raw Data'!BK:BK),"")</f>
        <v/>
      </c>
      <c r="AA239" s="227" t="str">
        <f>IFERROR(_xlfn.XLOOKUP($A239,'Raw Data'!$A:$A,'Raw Data'!BL:BL),"")</f>
        <v/>
      </c>
      <c r="AB239" s="227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27">
        <f>IFERROR(_xlfn.XLOOKUP($D239,'Modelling New'!$D:$D,'Modelling New'!$T:$T)*1000,"")</f>
        <v>110013.10061975369</v>
      </c>
      <c r="AE239" s="234">
        <f>IFERROR(_xlfn.XLOOKUP($D239,'Modelling New'!$D:$D,'Modelling New'!$O:$O),"")</f>
        <v>0.70582805765293155</v>
      </c>
      <c r="AF239" s="234">
        <f>IFERROR(_xlfn.XLOOKUP($D239,'Modelling New'!$D:$D,'Modelling New'!$W:$W),"")</f>
        <v>0.18861294207281115</v>
      </c>
      <c r="AG239" s="234">
        <f>IFERROR(_xlfn.XLOOKUP($D239,'Modelling New'!$D:$D,'Modelling New'!AE:AE),"")</f>
        <v>0.995</v>
      </c>
      <c r="AH239" s="234">
        <v>0.99750000000000005</v>
      </c>
      <c r="AI239" s="6"/>
      <c r="AJ239" s="6"/>
      <c r="AK239" s="6"/>
      <c r="AL239" s="6"/>
      <c r="AM239" s="6"/>
      <c r="AN239" s="231"/>
      <c r="AO239" s="234"/>
      <c r="AP239" s="234"/>
      <c r="AQ239" s="234"/>
      <c r="AR239" s="227">
        <f>IFERROR(_xlfn.XLOOKUP($D239,'Modelling New'!$D:$D,'Modelling New'!$N:$N),"")</f>
        <v>24.303100000000001</v>
      </c>
      <c r="AS239" s="227"/>
    </row>
    <row r="240" spans="1:45" x14ac:dyDescent="0.35">
      <c r="A240" s="226">
        <f t="shared" si="18"/>
        <v>45983</v>
      </c>
      <c r="B240" s="227">
        <f>YEAR(Daily_KPI[[#This Row],[Date]])+IF(MONTH(Daily_KPI[[#This Row],[Date]])&gt;=4,1,0)</f>
        <v>2026</v>
      </c>
      <c r="C240" s="6">
        <f>YEAR(Daily_KPI[[#This Row],[Date]])</f>
        <v>2025</v>
      </c>
      <c r="D240" s="228">
        <f>Daily_KPI[[#This Row],[Date]]-DAY(Daily_KPI[[#This Row],[Date]])+1</f>
        <v>45962</v>
      </c>
      <c r="E240" s="6">
        <f t="shared" si="16"/>
        <v>30</v>
      </c>
      <c r="F240" s="229" t="str">
        <f>IFERROR(_xlfn.XLOOKUP($A240,'Raw Data'!$A:$A,'Raw Data'!$BR:$BR),"")</f>
        <v/>
      </c>
      <c r="G240" s="230" t="str">
        <f>IFERROR(_xlfn.XLOOKUP($A240,'Raw Data'!$A:$A,'Raw Data'!$AO:$AO),"")</f>
        <v/>
      </c>
      <c r="H240" s="230"/>
      <c r="I240" s="230" t="str">
        <f>IFERROR(_xlfn.XLOOKUP($A240,'Raw Data'!$A:$A,'Raw Data'!$AR:$AR),"")</f>
        <v/>
      </c>
      <c r="J240" s="230"/>
      <c r="K240" s="230" t="str">
        <f>IFERROR(_xlfn.XLOOKUP($A240,'Raw Data'!$A:$A,'Raw Data'!$AV:$AV),"")</f>
        <v/>
      </c>
      <c r="L240" s="230" t="str">
        <f>IFERROR(_xlfn.XLOOKUP($A240,'Raw Data'!$A:$A,'Raw Data'!$AW:$AW),"")</f>
        <v/>
      </c>
      <c r="M240" s="230" t="str">
        <f>IFERROR(_xlfn.XLOOKUP($A240,'Raw Data'!$A:$A,'Raw Data'!$AX:$AX),"")</f>
        <v/>
      </c>
      <c r="N240" s="230" t="str">
        <f>IFERROR(_xlfn.XLOOKUP($A240,'Raw Data'!$A:$A,'Raw Data'!$AY:$AY),"")</f>
        <v/>
      </c>
      <c r="O240" s="231" t="str">
        <f>IFERROR(1-(SUMIF('Plant BD'!$B:$B,A240,'Plant BD'!$AE:$AE)/(AA240+SUMIF('Plant BD'!$B:$B,A240,'Plant BD'!$AE:$AE))),"")</f>
        <v/>
      </c>
      <c r="P240" s="231"/>
      <c r="Q240" s="232"/>
      <c r="R240" s="231" t="str">
        <f>IFERROR(1-(SUMIF('Grid BD'!$B:$B,$A240,'Grid BD'!$AD:$AD)/($AA240+SUMIF('Grid BD'!$B:$B,$A240,'Grid BD'!AD:AD))),"")</f>
        <v/>
      </c>
      <c r="S240" s="6"/>
      <c r="T240" s="232"/>
      <c r="U240" s="233" t="str">
        <f t="shared" si="17"/>
        <v/>
      </c>
      <c r="V240" s="233"/>
      <c r="W240" s="234" t="str">
        <f t="shared" si="19"/>
        <v/>
      </c>
      <c r="X240" s="227" t="str">
        <f>IFERROR(_xlfn.XLOOKUP($A240,'Raw Data'!$A:$A,'Raw Data'!$BA:$BA),"")</f>
        <v/>
      </c>
      <c r="Y240" s="227" t="str">
        <f>IFERROR(_xlfn.XLOOKUP($A240,'Raw Data'!$A:$A,'Raw Data'!BJ:BJ),"")</f>
        <v/>
      </c>
      <c r="Z240" s="227" t="str">
        <f>IFERROR(_xlfn.XLOOKUP($A240,'Raw Data'!$A:$A,'Raw Data'!BK:BK),"")</f>
        <v/>
      </c>
      <c r="AA240" s="227" t="str">
        <f>IFERROR(_xlfn.XLOOKUP($A240,'Raw Data'!$A:$A,'Raw Data'!BL:BL),"")</f>
        <v/>
      </c>
      <c r="AB240" s="227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27">
        <f>IFERROR(_xlfn.XLOOKUP($D240,'Modelling New'!$D:$D,'Modelling New'!$T:$T)*1000,"")</f>
        <v>110013.10061975369</v>
      </c>
      <c r="AE240" s="234">
        <f>IFERROR(_xlfn.XLOOKUP($D240,'Modelling New'!$D:$D,'Modelling New'!$O:$O),"")</f>
        <v>0.70582805765293155</v>
      </c>
      <c r="AF240" s="234">
        <f>IFERROR(_xlfn.XLOOKUP($D240,'Modelling New'!$D:$D,'Modelling New'!$W:$W),"")</f>
        <v>0.18861294207281115</v>
      </c>
      <c r="AG240" s="234">
        <f>IFERROR(_xlfn.XLOOKUP($D240,'Modelling New'!$D:$D,'Modelling New'!AE:AE),"")</f>
        <v>0.995</v>
      </c>
      <c r="AH240" s="234">
        <v>0.99750000000000005</v>
      </c>
      <c r="AI240" s="6"/>
      <c r="AJ240" s="6"/>
      <c r="AK240" s="6"/>
      <c r="AL240" s="6"/>
      <c r="AM240" s="6"/>
      <c r="AN240" s="231"/>
      <c r="AO240" s="234"/>
      <c r="AP240" s="234"/>
      <c r="AQ240" s="234"/>
      <c r="AR240" s="227">
        <f>IFERROR(_xlfn.XLOOKUP($D240,'Modelling New'!$D:$D,'Modelling New'!$N:$N),"")</f>
        <v>24.303100000000001</v>
      </c>
      <c r="AS240" s="227"/>
    </row>
    <row r="241" spans="1:45" x14ac:dyDescent="0.35">
      <c r="A241" s="226">
        <f t="shared" si="18"/>
        <v>45984</v>
      </c>
      <c r="B241" s="227">
        <f>YEAR(Daily_KPI[[#This Row],[Date]])+IF(MONTH(Daily_KPI[[#This Row],[Date]])&gt;=4,1,0)</f>
        <v>2026</v>
      </c>
      <c r="C241" s="6">
        <f>YEAR(Daily_KPI[[#This Row],[Date]])</f>
        <v>2025</v>
      </c>
      <c r="D241" s="228">
        <f>Daily_KPI[[#This Row],[Date]]-DAY(Daily_KPI[[#This Row],[Date]])+1</f>
        <v>45962</v>
      </c>
      <c r="E241" s="6">
        <f t="shared" si="16"/>
        <v>30</v>
      </c>
      <c r="F241" s="229" t="str">
        <f>IFERROR(_xlfn.XLOOKUP($A241,'Raw Data'!$A:$A,'Raw Data'!$BR:$BR),"")</f>
        <v/>
      </c>
      <c r="G241" s="230" t="str">
        <f>IFERROR(_xlfn.XLOOKUP($A241,'Raw Data'!$A:$A,'Raw Data'!$AO:$AO),"")</f>
        <v/>
      </c>
      <c r="H241" s="230"/>
      <c r="I241" s="230" t="str">
        <f>IFERROR(_xlfn.XLOOKUP($A241,'Raw Data'!$A:$A,'Raw Data'!$AR:$AR),"")</f>
        <v/>
      </c>
      <c r="J241" s="230"/>
      <c r="K241" s="230" t="str">
        <f>IFERROR(_xlfn.XLOOKUP($A241,'Raw Data'!$A:$A,'Raw Data'!$AV:$AV),"")</f>
        <v/>
      </c>
      <c r="L241" s="230" t="str">
        <f>IFERROR(_xlfn.XLOOKUP($A241,'Raw Data'!$A:$A,'Raw Data'!$AW:$AW),"")</f>
        <v/>
      </c>
      <c r="M241" s="230" t="str">
        <f>IFERROR(_xlfn.XLOOKUP($A241,'Raw Data'!$A:$A,'Raw Data'!$AX:$AX),"")</f>
        <v/>
      </c>
      <c r="N241" s="230" t="str">
        <f>IFERROR(_xlfn.XLOOKUP($A241,'Raw Data'!$A:$A,'Raw Data'!$AY:$AY),"")</f>
        <v/>
      </c>
      <c r="O241" s="231" t="str">
        <f>IFERROR(1-(SUMIF('Plant BD'!$B:$B,A241,'Plant BD'!$AE:$AE)/(AA241+SUMIF('Plant BD'!$B:$B,A241,'Plant BD'!$AE:$AE))),"")</f>
        <v/>
      </c>
      <c r="P241" s="231"/>
      <c r="Q241" s="232"/>
      <c r="R241" s="231" t="str">
        <f>IFERROR(1-(SUMIF('Grid BD'!$B:$B,$A241,'Grid BD'!$AD:$AD)/($AA241+SUMIF('Grid BD'!$B:$B,$A241,'Grid BD'!AD:AD))),"")</f>
        <v/>
      </c>
      <c r="S241" s="6"/>
      <c r="T241" s="232"/>
      <c r="U241" s="233" t="str">
        <f t="shared" si="17"/>
        <v/>
      </c>
      <c r="V241" s="233"/>
      <c r="W241" s="234" t="str">
        <f t="shared" si="19"/>
        <v/>
      </c>
      <c r="X241" s="227" t="str">
        <f>IFERROR(_xlfn.XLOOKUP($A241,'Raw Data'!$A:$A,'Raw Data'!$BA:$BA),"")</f>
        <v/>
      </c>
      <c r="Y241" s="227" t="str">
        <f>IFERROR(_xlfn.XLOOKUP($A241,'Raw Data'!$A:$A,'Raw Data'!BJ:BJ),"")</f>
        <v/>
      </c>
      <c r="Z241" s="227" t="str">
        <f>IFERROR(_xlfn.XLOOKUP($A241,'Raw Data'!$A:$A,'Raw Data'!BK:BK),"")</f>
        <v/>
      </c>
      <c r="AA241" s="227" t="str">
        <f>IFERROR(_xlfn.XLOOKUP($A241,'Raw Data'!$A:$A,'Raw Data'!BL:BL),"")</f>
        <v/>
      </c>
      <c r="AB241" s="227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27">
        <f>IFERROR(_xlfn.XLOOKUP($D241,'Modelling New'!$D:$D,'Modelling New'!$T:$T)*1000,"")</f>
        <v>110013.10061975369</v>
      </c>
      <c r="AE241" s="234">
        <f>IFERROR(_xlfn.XLOOKUP($D241,'Modelling New'!$D:$D,'Modelling New'!$O:$O),"")</f>
        <v>0.70582805765293155</v>
      </c>
      <c r="AF241" s="234">
        <f>IFERROR(_xlfn.XLOOKUP($D241,'Modelling New'!$D:$D,'Modelling New'!$W:$W),"")</f>
        <v>0.18861294207281115</v>
      </c>
      <c r="AG241" s="234">
        <f>IFERROR(_xlfn.XLOOKUP($D241,'Modelling New'!$D:$D,'Modelling New'!AE:AE),"")</f>
        <v>0.995</v>
      </c>
      <c r="AH241" s="234">
        <v>0.99750000000000005</v>
      </c>
      <c r="AI241" s="6"/>
      <c r="AJ241" s="6"/>
      <c r="AK241" s="6"/>
      <c r="AL241" s="6"/>
      <c r="AM241" s="6"/>
      <c r="AN241" s="231"/>
      <c r="AO241" s="234"/>
      <c r="AP241" s="234"/>
      <c r="AQ241" s="234"/>
      <c r="AR241" s="227">
        <f>IFERROR(_xlfn.XLOOKUP($D241,'Modelling New'!$D:$D,'Modelling New'!$N:$N),"")</f>
        <v>24.303100000000001</v>
      </c>
      <c r="AS241" s="227"/>
    </row>
    <row r="242" spans="1:45" x14ac:dyDescent="0.35">
      <c r="A242" s="226">
        <f t="shared" si="18"/>
        <v>45985</v>
      </c>
      <c r="B242" s="227">
        <f>YEAR(Daily_KPI[[#This Row],[Date]])+IF(MONTH(Daily_KPI[[#This Row],[Date]])&gt;=4,1,0)</f>
        <v>2026</v>
      </c>
      <c r="C242" s="6">
        <f>YEAR(Daily_KPI[[#This Row],[Date]])</f>
        <v>2025</v>
      </c>
      <c r="D242" s="228">
        <f>Daily_KPI[[#This Row],[Date]]-DAY(Daily_KPI[[#This Row],[Date]])+1</f>
        <v>45962</v>
      </c>
      <c r="E242" s="6">
        <f t="shared" si="16"/>
        <v>30</v>
      </c>
      <c r="F242" s="229" t="str">
        <f>IFERROR(_xlfn.XLOOKUP($A242,'Raw Data'!$A:$A,'Raw Data'!$BR:$BR),"")</f>
        <v/>
      </c>
      <c r="G242" s="230" t="str">
        <f>IFERROR(_xlfn.XLOOKUP($A242,'Raw Data'!$A:$A,'Raw Data'!$AO:$AO),"")</f>
        <v/>
      </c>
      <c r="H242" s="230"/>
      <c r="I242" s="230" t="str">
        <f>IFERROR(_xlfn.XLOOKUP($A242,'Raw Data'!$A:$A,'Raw Data'!$AR:$AR),"")</f>
        <v/>
      </c>
      <c r="J242" s="230"/>
      <c r="K242" s="230" t="str">
        <f>IFERROR(_xlfn.XLOOKUP($A242,'Raw Data'!$A:$A,'Raw Data'!$AV:$AV),"")</f>
        <v/>
      </c>
      <c r="L242" s="230" t="str">
        <f>IFERROR(_xlfn.XLOOKUP($A242,'Raw Data'!$A:$A,'Raw Data'!$AW:$AW),"")</f>
        <v/>
      </c>
      <c r="M242" s="230" t="str">
        <f>IFERROR(_xlfn.XLOOKUP($A242,'Raw Data'!$A:$A,'Raw Data'!$AX:$AX),"")</f>
        <v/>
      </c>
      <c r="N242" s="230" t="str">
        <f>IFERROR(_xlfn.XLOOKUP($A242,'Raw Data'!$A:$A,'Raw Data'!$AY:$AY),"")</f>
        <v/>
      </c>
      <c r="O242" s="231" t="str">
        <f>IFERROR(1-(SUMIF('Plant BD'!$B:$B,A242,'Plant BD'!$AE:$AE)/(AA242+SUMIF('Plant BD'!$B:$B,A242,'Plant BD'!$AE:$AE))),"")</f>
        <v/>
      </c>
      <c r="P242" s="231"/>
      <c r="Q242" s="232"/>
      <c r="R242" s="231" t="str">
        <f>IFERROR(1-(SUMIF('Grid BD'!$B:$B,$A242,'Grid BD'!$AD:$AD)/($AA242+SUMIF('Grid BD'!$B:$B,$A242,'Grid BD'!AD:AD))),"")</f>
        <v/>
      </c>
      <c r="S242" s="6"/>
      <c r="T242" s="232"/>
      <c r="U242" s="233" t="str">
        <f t="shared" si="17"/>
        <v/>
      </c>
      <c r="V242" s="233"/>
      <c r="W242" s="234" t="str">
        <f t="shared" si="19"/>
        <v/>
      </c>
      <c r="X242" s="227" t="str">
        <f>IFERROR(_xlfn.XLOOKUP($A242,'Raw Data'!$A:$A,'Raw Data'!$BA:$BA),"")</f>
        <v/>
      </c>
      <c r="Y242" s="227" t="str">
        <f>IFERROR(_xlfn.XLOOKUP($A242,'Raw Data'!$A:$A,'Raw Data'!BJ:BJ),"")</f>
        <v/>
      </c>
      <c r="Z242" s="227" t="str">
        <f>IFERROR(_xlfn.XLOOKUP($A242,'Raw Data'!$A:$A,'Raw Data'!BK:BK),"")</f>
        <v/>
      </c>
      <c r="AA242" s="227" t="str">
        <f>IFERROR(_xlfn.XLOOKUP($A242,'Raw Data'!$A:$A,'Raw Data'!BL:BL),"")</f>
        <v/>
      </c>
      <c r="AB242" s="227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27">
        <f>IFERROR(_xlfn.XLOOKUP($D242,'Modelling New'!$D:$D,'Modelling New'!$T:$T)*1000,"")</f>
        <v>110013.10061975369</v>
      </c>
      <c r="AE242" s="234">
        <f>IFERROR(_xlfn.XLOOKUP($D242,'Modelling New'!$D:$D,'Modelling New'!$O:$O),"")</f>
        <v>0.70582805765293155</v>
      </c>
      <c r="AF242" s="234">
        <f>IFERROR(_xlfn.XLOOKUP($D242,'Modelling New'!$D:$D,'Modelling New'!$W:$W),"")</f>
        <v>0.18861294207281115</v>
      </c>
      <c r="AG242" s="234">
        <f>IFERROR(_xlfn.XLOOKUP($D242,'Modelling New'!$D:$D,'Modelling New'!AE:AE),"")</f>
        <v>0.995</v>
      </c>
      <c r="AH242" s="234">
        <v>0.99750000000000005</v>
      </c>
      <c r="AI242" s="6"/>
      <c r="AJ242" s="6"/>
      <c r="AK242" s="6"/>
      <c r="AL242" s="6"/>
      <c r="AM242" s="6"/>
      <c r="AN242" s="231"/>
      <c r="AO242" s="234"/>
      <c r="AP242" s="234"/>
      <c r="AQ242" s="234"/>
      <c r="AR242" s="227">
        <f>IFERROR(_xlfn.XLOOKUP($D242,'Modelling New'!$D:$D,'Modelling New'!$N:$N),"")</f>
        <v>24.303100000000001</v>
      </c>
      <c r="AS242" s="227"/>
    </row>
    <row r="243" spans="1:45" x14ac:dyDescent="0.35">
      <c r="A243" s="226">
        <f t="shared" si="18"/>
        <v>45986</v>
      </c>
      <c r="B243" s="227">
        <f>YEAR(Daily_KPI[[#This Row],[Date]])+IF(MONTH(Daily_KPI[[#This Row],[Date]])&gt;=4,1,0)</f>
        <v>2026</v>
      </c>
      <c r="C243" s="6">
        <f>YEAR(Daily_KPI[[#This Row],[Date]])</f>
        <v>2025</v>
      </c>
      <c r="D243" s="228">
        <f>Daily_KPI[[#This Row],[Date]]-DAY(Daily_KPI[[#This Row],[Date]])+1</f>
        <v>45962</v>
      </c>
      <c r="E243" s="6">
        <f t="shared" si="16"/>
        <v>30</v>
      </c>
      <c r="F243" s="229" t="str">
        <f>IFERROR(_xlfn.XLOOKUP($A243,'Raw Data'!$A:$A,'Raw Data'!$BR:$BR),"")</f>
        <v/>
      </c>
      <c r="G243" s="230" t="str">
        <f>IFERROR(_xlfn.XLOOKUP($A243,'Raw Data'!$A:$A,'Raw Data'!$AO:$AO),"")</f>
        <v/>
      </c>
      <c r="H243" s="230"/>
      <c r="I243" s="230" t="str">
        <f>IFERROR(_xlfn.XLOOKUP($A243,'Raw Data'!$A:$A,'Raw Data'!$AR:$AR),"")</f>
        <v/>
      </c>
      <c r="J243" s="230"/>
      <c r="K243" s="230" t="str">
        <f>IFERROR(_xlfn.XLOOKUP($A243,'Raw Data'!$A:$A,'Raw Data'!$AV:$AV),"")</f>
        <v/>
      </c>
      <c r="L243" s="230" t="str">
        <f>IFERROR(_xlfn.XLOOKUP($A243,'Raw Data'!$A:$A,'Raw Data'!$AW:$AW),"")</f>
        <v/>
      </c>
      <c r="M243" s="230" t="str">
        <f>IFERROR(_xlfn.XLOOKUP($A243,'Raw Data'!$A:$A,'Raw Data'!$AX:$AX),"")</f>
        <v/>
      </c>
      <c r="N243" s="230" t="str">
        <f>IFERROR(_xlfn.XLOOKUP($A243,'Raw Data'!$A:$A,'Raw Data'!$AY:$AY),"")</f>
        <v/>
      </c>
      <c r="O243" s="231" t="str">
        <f>IFERROR(1-(SUMIF('Plant BD'!$B:$B,A243,'Plant BD'!$AE:$AE)/(AA243+SUMIF('Plant BD'!$B:$B,A243,'Plant BD'!$AE:$AE))),"")</f>
        <v/>
      </c>
      <c r="P243" s="231"/>
      <c r="Q243" s="232"/>
      <c r="R243" s="231" t="str">
        <f>IFERROR(1-(SUMIF('Grid BD'!$B:$B,$A243,'Grid BD'!$AD:$AD)/($AA243+SUMIF('Grid BD'!$B:$B,$A243,'Grid BD'!AD:AD))),"")</f>
        <v/>
      </c>
      <c r="S243" s="6"/>
      <c r="T243" s="232"/>
      <c r="U243" s="233" t="str">
        <f t="shared" si="17"/>
        <v/>
      </c>
      <c r="V243" s="233"/>
      <c r="W243" s="234" t="str">
        <f t="shared" si="19"/>
        <v/>
      </c>
      <c r="X243" s="227" t="str">
        <f>IFERROR(_xlfn.XLOOKUP($A243,'Raw Data'!$A:$A,'Raw Data'!$BA:$BA),"")</f>
        <v/>
      </c>
      <c r="Y243" s="227" t="str">
        <f>IFERROR(_xlfn.XLOOKUP($A243,'Raw Data'!$A:$A,'Raw Data'!BJ:BJ),"")</f>
        <v/>
      </c>
      <c r="Z243" s="227" t="str">
        <f>IFERROR(_xlfn.XLOOKUP($A243,'Raw Data'!$A:$A,'Raw Data'!BK:BK),"")</f>
        <v/>
      </c>
      <c r="AA243" s="227" t="str">
        <f>IFERROR(_xlfn.XLOOKUP($A243,'Raw Data'!$A:$A,'Raw Data'!BL:BL),"")</f>
        <v/>
      </c>
      <c r="AB243" s="227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27">
        <f>IFERROR(_xlfn.XLOOKUP($D243,'Modelling New'!$D:$D,'Modelling New'!$T:$T)*1000,"")</f>
        <v>110013.10061975369</v>
      </c>
      <c r="AE243" s="234">
        <f>IFERROR(_xlfn.XLOOKUP($D243,'Modelling New'!$D:$D,'Modelling New'!$O:$O),"")</f>
        <v>0.70582805765293155</v>
      </c>
      <c r="AF243" s="234">
        <f>IFERROR(_xlfn.XLOOKUP($D243,'Modelling New'!$D:$D,'Modelling New'!$W:$W),"")</f>
        <v>0.18861294207281115</v>
      </c>
      <c r="AG243" s="234">
        <f>IFERROR(_xlfn.XLOOKUP($D243,'Modelling New'!$D:$D,'Modelling New'!AE:AE),"")</f>
        <v>0.995</v>
      </c>
      <c r="AH243" s="234">
        <v>0.99750000000000005</v>
      </c>
      <c r="AI243" s="6"/>
      <c r="AJ243" s="6"/>
      <c r="AK243" s="6"/>
      <c r="AL243" s="6"/>
      <c r="AM243" s="6"/>
      <c r="AN243" s="231"/>
      <c r="AO243" s="234"/>
      <c r="AP243" s="234"/>
      <c r="AQ243" s="234"/>
      <c r="AR243" s="227">
        <f>IFERROR(_xlfn.XLOOKUP($D243,'Modelling New'!$D:$D,'Modelling New'!$N:$N),"")</f>
        <v>24.303100000000001</v>
      </c>
      <c r="AS243" s="227"/>
    </row>
    <row r="244" spans="1:45" x14ac:dyDescent="0.35">
      <c r="A244" s="226">
        <f t="shared" si="18"/>
        <v>45987</v>
      </c>
      <c r="B244" s="227">
        <f>YEAR(Daily_KPI[[#This Row],[Date]])+IF(MONTH(Daily_KPI[[#This Row],[Date]])&gt;=4,1,0)</f>
        <v>2026</v>
      </c>
      <c r="C244" s="6">
        <f>YEAR(Daily_KPI[[#This Row],[Date]])</f>
        <v>2025</v>
      </c>
      <c r="D244" s="228">
        <f>Daily_KPI[[#This Row],[Date]]-DAY(Daily_KPI[[#This Row],[Date]])+1</f>
        <v>45962</v>
      </c>
      <c r="E244" s="6">
        <f t="shared" si="16"/>
        <v>30</v>
      </c>
      <c r="F244" s="229" t="str">
        <f>IFERROR(_xlfn.XLOOKUP($A244,'Raw Data'!$A:$A,'Raw Data'!$BR:$BR),"")</f>
        <v/>
      </c>
      <c r="G244" s="230" t="str">
        <f>IFERROR(_xlfn.XLOOKUP($A244,'Raw Data'!$A:$A,'Raw Data'!$AO:$AO),"")</f>
        <v/>
      </c>
      <c r="H244" s="230"/>
      <c r="I244" s="230" t="str">
        <f>IFERROR(_xlfn.XLOOKUP($A244,'Raw Data'!$A:$A,'Raw Data'!$AR:$AR),"")</f>
        <v/>
      </c>
      <c r="J244" s="230"/>
      <c r="K244" s="230" t="str">
        <f>IFERROR(_xlfn.XLOOKUP($A244,'Raw Data'!$A:$A,'Raw Data'!$AV:$AV),"")</f>
        <v/>
      </c>
      <c r="L244" s="230" t="str">
        <f>IFERROR(_xlfn.XLOOKUP($A244,'Raw Data'!$A:$A,'Raw Data'!$AW:$AW),"")</f>
        <v/>
      </c>
      <c r="M244" s="230" t="str">
        <f>IFERROR(_xlfn.XLOOKUP($A244,'Raw Data'!$A:$A,'Raw Data'!$AX:$AX),"")</f>
        <v/>
      </c>
      <c r="N244" s="230" t="str">
        <f>IFERROR(_xlfn.XLOOKUP($A244,'Raw Data'!$A:$A,'Raw Data'!$AY:$AY),"")</f>
        <v/>
      </c>
      <c r="O244" s="231" t="str">
        <f>IFERROR(1-(SUMIF('Plant BD'!$B:$B,A244,'Plant BD'!$AE:$AE)/(AA244+SUMIF('Plant BD'!$B:$B,A244,'Plant BD'!$AE:$AE))),"")</f>
        <v/>
      </c>
      <c r="P244" s="231"/>
      <c r="Q244" s="232"/>
      <c r="R244" s="231" t="str">
        <f>IFERROR(1-(SUMIF('Grid BD'!$B:$B,$A244,'Grid BD'!$AD:$AD)/($AA244+SUMIF('Grid BD'!$B:$B,$A244,'Grid BD'!AD:AD))),"")</f>
        <v/>
      </c>
      <c r="S244" s="6"/>
      <c r="T244" s="232"/>
      <c r="U244" s="233" t="str">
        <f t="shared" si="17"/>
        <v/>
      </c>
      <c r="V244" s="233"/>
      <c r="W244" s="234" t="str">
        <f t="shared" si="19"/>
        <v/>
      </c>
      <c r="X244" s="227" t="str">
        <f>IFERROR(_xlfn.XLOOKUP($A244,'Raw Data'!$A:$A,'Raw Data'!$BA:$BA),"")</f>
        <v/>
      </c>
      <c r="Y244" s="227" t="str">
        <f>IFERROR(_xlfn.XLOOKUP($A244,'Raw Data'!$A:$A,'Raw Data'!BJ:BJ),"")</f>
        <v/>
      </c>
      <c r="Z244" s="227" t="str">
        <f>IFERROR(_xlfn.XLOOKUP($A244,'Raw Data'!$A:$A,'Raw Data'!BK:BK),"")</f>
        <v/>
      </c>
      <c r="AA244" s="227" t="str">
        <f>IFERROR(_xlfn.XLOOKUP($A244,'Raw Data'!$A:$A,'Raw Data'!BL:BL),"")</f>
        <v/>
      </c>
      <c r="AB244" s="227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27">
        <f>IFERROR(_xlfn.XLOOKUP($D244,'Modelling New'!$D:$D,'Modelling New'!$T:$T)*1000,"")</f>
        <v>110013.10061975369</v>
      </c>
      <c r="AE244" s="234">
        <f>IFERROR(_xlfn.XLOOKUP($D244,'Modelling New'!$D:$D,'Modelling New'!$O:$O),"")</f>
        <v>0.70582805765293155</v>
      </c>
      <c r="AF244" s="234">
        <f>IFERROR(_xlfn.XLOOKUP($D244,'Modelling New'!$D:$D,'Modelling New'!$W:$W),"")</f>
        <v>0.18861294207281115</v>
      </c>
      <c r="AG244" s="234">
        <f>IFERROR(_xlfn.XLOOKUP($D244,'Modelling New'!$D:$D,'Modelling New'!AE:AE),"")</f>
        <v>0.995</v>
      </c>
      <c r="AH244" s="234">
        <v>0.99750000000000005</v>
      </c>
      <c r="AI244" s="6"/>
      <c r="AJ244" s="6"/>
      <c r="AK244" s="6"/>
      <c r="AL244" s="6"/>
      <c r="AM244" s="6"/>
      <c r="AN244" s="231"/>
      <c r="AO244" s="234"/>
      <c r="AP244" s="234"/>
      <c r="AQ244" s="234"/>
      <c r="AR244" s="227">
        <f>IFERROR(_xlfn.XLOOKUP($D244,'Modelling New'!$D:$D,'Modelling New'!$N:$N),"")</f>
        <v>24.303100000000001</v>
      </c>
      <c r="AS244" s="227"/>
    </row>
    <row r="245" spans="1:45" x14ac:dyDescent="0.35">
      <c r="A245" s="226">
        <f t="shared" si="18"/>
        <v>45988</v>
      </c>
      <c r="B245" s="227">
        <f>YEAR(Daily_KPI[[#This Row],[Date]])+IF(MONTH(Daily_KPI[[#This Row],[Date]])&gt;=4,1,0)</f>
        <v>2026</v>
      </c>
      <c r="C245" s="6">
        <f>YEAR(Daily_KPI[[#This Row],[Date]])</f>
        <v>2025</v>
      </c>
      <c r="D245" s="228">
        <f>Daily_KPI[[#This Row],[Date]]-DAY(Daily_KPI[[#This Row],[Date]])+1</f>
        <v>45962</v>
      </c>
      <c r="E245" s="6">
        <f t="shared" ref="E245:E308" si="20">DAY(EOMONTH(A245,0))</f>
        <v>30</v>
      </c>
      <c r="F245" s="229" t="str">
        <f>IFERROR(_xlfn.XLOOKUP($A245,'Raw Data'!$A:$A,'Raw Data'!$BR:$BR),"")</f>
        <v/>
      </c>
      <c r="G245" s="230" t="str">
        <f>IFERROR(_xlfn.XLOOKUP($A245,'Raw Data'!$A:$A,'Raw Data'!$AO:$AO),"")</f>
        <v/>
      </c>
      <c r="H245" s="230"/>
      <c r="I245" s="230" t="str">
        <f>IFERROR(_xlfn.XLOOKUP($A245,'Raw Data'!$A:$A,'Raw Data'!$AR:$AR),"")</f>
        <v/>
      </c>
      <c r="J245" s="230"/>
      <c r="K245" s="230" t="str">
        <f>IFERROR(_xlfn.XLOOKUP($A245,'Raw Data'!$A:$A,'Raw Data'!$AV:$AV),"")</f>
        <v/>
      </c>
      <c r="L245" s="230" t="str">
        <f>IFERROR(_xlfn.XLOOKUP($A245,'Raw Data'!$A:$A,'Raw Data'!$AW:$AW),"")</f>
        <v/>
      </c>
      <c r="M245" s="230" t="str">
        <f>IFERROR(_xlfn.XLOOKUP($A245,'Raw Data'!$A:$A,'Raw Data'!$AX:$AX),"")</f>
        <v/>
      </c>
      <c r="N245" s="230" t="str">
        <f>IFERROR(_xlfn.XLOOKUP($A245,'Raw Data'!$A:$A,'Raw Data'!$AY:$AY),"")</f>
        <v/>
      </c>
      <c r="O245" s="231" t="str">
        <f>IFERROR(1-(SUMIF('Plant BD'!$B:$B,A245,'Plant BD'!$AE:$AE)/(AA245+SUMIF('Plant BD'!$B:$B,A245,'Plant BD'!$AE:$AE))),"")</f>
        <v/>
      </c>
      <c r="P245" s="231"/>
      <c r="Q245" s="232"/>
      <c r="R245" s="231" t="str">
        <f>IFERROR(1-(SUMIF('Grid BD'!$B:$B,$A245,'Grid BD'!$AD:$AD)/($AA245+SUMIF('Grid BD'!$B:$B,$A245,'Grid BD'!AD:AD))),"")</f>
        <v/>
      </c>
      <c r="S245" s="6"/>
      <c r="T245" s="232"/>
      <c r="U245" s="233" t="str">
        <f t="shared" si="17"/>
        <v/>
      </c>
      <c r="V245" s="233"/>
      <c r="W245" s="234" t="str">
        <f t="shared" si="19"/>
        <v/>
      </c>
      <c r="X245" s="227" t="str">
        <f>IFERROR(_xlfn.XLOOKUP($A245,'Raw Data'!$A:$A,'Raw Data'!$BA:$BA),"")</f>
        <v/>
      </c>
      <c r="Y245" s="227" t="str">
        <f>IFERROR(_xlfn.XLOOKUP($A245,'Raw Data'!$A:$A,'Raw Data'!BJ:BJ),"")</f>
        <v/>
      </c>
      <c r="Z245" s="227" t="str">
        <f>IFERROR(_xlfn.XLOOKUP($A245,'Raw Data'!$A:$A,'Raw Data'!BK:BK),"")</f>
        <v/>
      </c>
      <c r="AA245" s="227" t="str">
        <f>IFERROR(_xlfn.XLOOKUP($A245,'Raw Data'!$A:$A,'Raw Data'!BL:BL),"")</f>
        <v/>
      </c>
      <c r="AB245" s="227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27">
        <f>IFERROR(_xlfn.XLOOKUP($D245,'Modelling New'!$D:$D,'Modelling New'!$T:$T)*1000,"")</f>
        <v>110013.10061975369</v>
      </c>
      <c r="AE245" s="234">
        <f>IFERROR(_xlfn.XLOOKUP($D245,'Modelling New'!$D:$D,'Modelling New'!$O:$O),"")</f>
        <v>0.70582805765293155</v>
      </c>
      <c r="AF245" s="234">
        <f>IFERROR(_xlfn.XLOOKUP($D245,'Modelling New'!$D:$D,'Modelling New'!$W:$W),"")</f>
        <v>0.18861294207281115</v>
      </c>
      <c r="AG245" s="234">
        <f>IFERROR(_xlfn.XLOOKUP($D245,'Modelling New'!$D:$D,'Modelling New'!AE:AE),"")</f>
        <v>0.995</v>
      </c>
      <c r="AH245" s="234">
        <v>0.99750000000000005</v>
      </c>
      <c r="AI245" s="6"/>
      <c r="AJ245" s="6"/>
      <c r="AK245" s="6"/>
      <c r="AL245" s="6"/>
      <c r="AM245" s="6"/>
      <c r="AN245" s="231"/>
      <c r="AO245" s="234"/>
      <c r="AP245" s="234"/>
      <c r="AQ245" s="234"/>
      <c r="AR245" s="227">
        <f>IFERROR(_xlfn.XLOOKUP($D245,'Modelling New'!$D:$D,'Modelling New'!$N:$N),"")</f>
        <v>24.303100000000001</v>
      </c>
      <c r="AS245" s="227"/>
    </row>
    <row r="246" spans="1:45" x14ac:dyDescent="0.35">
      <c r="A246" s="226">
        <f t="shared" si="18"/>
        <v>45989</v>
      </c>
      <c r="B246" s="227">
        <f>YEAR(Daily_KPI[[#This Row],[Date]])+IF(MONTH(Daily_KPI[[#This Row],[Date]])&gt;=4,1,0)</f>
        <v>2026</v>
      </c>
      <c r="C246" s="6">
        <f>YEAR(Daily_KPI[[#This Row],[Date]])</f>
        <v>2025</v>
      </c>
      <c r="D246" s="228">
        <f>Daily_KPI[[#This Row],[Date]]-DAY(Daily_KPI[[#This Row],[Date]])+1</f>
        <v>45962</v>
      </c>
      <c r="E246" s="6">
        <f t="shared" si="20"/>
        <v>30</v>
      </c>
      <c r="F246" s="229" t="str">
        <f>IFERROR(_xlfn.XLOOKUP($A246,'Raw Data'!$A:$A,'Raw Data'!$BR:$BR),"")</f>
        <v/>
      </c>
      <c r="G246" s="230" t="str">
        <f>IFERROR(_xlfn.XLOOKUP($A246,'Raw Data'!$A:$A,'Raw Data'!$AO:$AO),"")</f>
        <v/>
      </c>
      <c r="H246" s="230"/>
      <c r="I246" s="230" t="str">
        <f>IFERROR(_xlfn.XLOOKUP($A246,'Raw Data'!$A:$A,'Raw Data'!$AR:$AR),"")</f>
        <v/>
      </c>
      <c r="J246" s="230"/>
      <c r="K246" s="230" t="str">
        <f>IFERROR(_xlfn.XLOOKUP($A246,'Raw Data'!$A:$A,'Raw Data'!$AV:$AV),"")</f>
        <v/>
      </c>
      <c r="L246" s="230" t="str">
        <f>IFERROR(_xlfn.XLOOKUP($A246,'Raw Data'!$A:$A,'Raw Data'!$AW:$AW),"")</f>
        <v/>
      </c>
      <c r="M246" s="230" t="str">
        <f>IFERROR(_xlfn.XLOOKUP($A246,'Raw Data'!$A:$A,'Raw Data'!$AX:$AX),"")</f>
        <v/>
      </c>
      <c r="N246" s="230" t="str">
        <f>IFERROR(_xlfn.XLOOKUP($A246,'Raw Data'!$A:$A,'Raw Data'!$AY:$AY),"")</f>
        <v/>
      </c>
      <c r="O246" s="231" t="str">
        <f>IFERROR(1-(SUMIF('Plant BD'!$B:$B,A246,'Plant BD'!$AE:$AE)/(AA246+SUMIF('Plant BD'!$B:$B,A246,'Plant BD'!$AE:$AE))),"")</f>
        <v/>
      </c>
      <c r="P246" s="231"/>
      <c r="Q246" s="232"/>
      <c r="R246" s="231" t="str">
        <f>IFERROR(1-(SUMIF('Grid BD'!$B:$B,$A246,'Grid BD'!$AD:$AD)/($AA246+SUMIF('Grid BD'!$B:$B,$A246,'Grid BD'!AD:AD))),"")</f>
        <v/>
      </c>
      <c r="S246" s="6"/>
      <c r="T246" s="232"/>
      <c r="U246" s="233" t="str">
        <f t="shared" si="17"/>
        <v/>
      </c>
      <c r="V246" s="233"/>
      <c r="W246" s="234" t="str">
        <f t="shared" si="19"/>
        <v/>
      </c>
      <c r="X246" s="227" t="str">
        <f>IFERROR(_xlfn.XLOOKUP($A246,'Raw Data'!$A:$A,'Raw Data'!$BA:$BA),"")</f>
        <v/>
      </c>
      <c r="Y246" s="227" t="str">
        <f>IFERROR(_xlfn.XLOOKUP($A246,'Raw Data'!$A:$A,'Raw Data'!BJ:BJ),"")</f>
        <v/>
      </c>
      <c r="Z246" s="227" t="str">
        <f>IFERROR(_xlfn.XLOOKUP($A246,'Raw Data'!$A:$A,'Raw Data'!BK:BK),"")</f>
        <v/>
      </c>
      <c r="AA246" s="227" t="str">
        <f>IFERROR(_xlfn.XLOOKUP($A246,'Raw Data'!$A:$A,'Raw Data'!BL:BL),"")</f>
        <v/>
      </c>
      <c r="AB246" s="227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27">
        <f>IFERROR(_xlfn.XLOOKUP($D246,'Modelling New'!$D:$D,'Modelling New'!$T:$T)*1000,"")</f>
        <v>110013.10061975369</v>
      </c>
      <c r="AE246" s="234">
        <f>IFERROR(_xlfn.XLOOKUP($D246,'Modelling New'!$D:$D,'Modelling New'!$O:$O),"")</f>
        <v>0.70582805765293155</v>
      </c>
      <c r="AF246" s="234">
        <f>IFERROR(_xlfn.XLOOKUP($D246,'Modelling New'!$D:$D,'Modelling New'!$W:$W),"")</f>
        <v>0.18861294207281115</v>
      </c>
      <c r="AG246" s="234">
        <f>IFERROR(_xlfn.XLOOKUP($D246,'Modelling New'!$D:$D,'Modelling New'!AE:AE),"")</f>
        <v>0.995</v>
      </c>
      <c r="AH246" s="234">
        <v>0.99750000000000005</v>
      </c>
      <c r="AI246" s="6"/>
      <c r="AJ246" s="6"/>
      <c r="AK246" s="6"/>
      <c r="AL246" s="6"/>
      <c r="AM246" s="6"/>
      <c r="AN246" s="231"/>
      <c r="AO246" s="234"/>
      <c r="AP246" s="234"/>
      <c r="AQ246" s="234"/>
      <c r="AR246" s="227">
        <f>IFERROR(_xlfn.XLOOKUP($D246,'Modelling New'!$D:$D,'Modelling New'!$N:$N),"")</f>
        <v>24.303100000000001</v>
      </c>
      <c r="AS246" s="227"/>
    </row>
    <row r="247" spans="1:45" x14ac:dyDescent="0.35">
      <c r="A247" s="226">
        <f t="shared" si="18"/>
        <v>45990</v>
      </c>
      <c r="B247" s="227">
        <f>YEAR(Daily_KPI[[#This Row],[Date]])+IF(MONTH(Daily_KPI[[#This Row],[Date]])&gt;=4,1,0)</f>
        <v>2026</v>
      </c>
      <c r="C247" s="6">
        <f>YEAR(Daily_KPI[[#This Row],[Date]])</f>
        <v>2025</v>
      </c>
      <c r="D247" s="228">
        <f>Daily_KPI[[#This Row],[Date]]-DAY(Daily_KPI[[#This Row],[Date]])+1</f>
        <v>45962</v>
      </c>
      <c r="E247" s="6">
        <f t="shared" si="20"/>
        <v>30</v>
      </c>
      <c r="F247" s="229" t="str">
        <f>IFERROR(_xlfn.XLOOKUP($A247,'Raw Data'!$A:$A,'Raw Data'!$BR:$BR),"")</f>
        <v/>
      </c>
      <c r="G247" s="230" t="str">
        <f>IFERROR(_xlfn.XLOOKUP($A247,'Raw Data'!$A:$A,'Raw Data'!$AO:$AO),"")</f>
        <v/>
      </c>
      <c r="H247" s="230"/>
      <c r="I247" s="230" t="str">
        <f>IFERROR(_xlfn.XLOOKUP($A247,'Raw Data'!$A:$A,'Raw Data'!$AR:$AR),"")</f>
        <v/>
      </c>
      <c r="J247" s="230"/>
      <c r="K247" s="230" t="str">
        <f>IFERROR(_xlfn.XLOOKUP($A247,'Raw Data'!$A:$A,'Raw Data'!$AV:$AV),"")</f>
        <v/>
      </c>
      <c r="L247" s="230" t="str">
        <f>IFERROR(_xlfn.XLOOKUP($A247,'Raw Data'!$A:$A,'Raw Data'!$AW:$AW),"")</f>
        <v/>
      </c>
      <c r="M247" s="230" t="str">
        <f>IFERROR(_xlfn.XLOOKUP($A247,'Raw Data'!$A:$A,'Raw Data'!$AX:$AX),"")</f>
        <v/>
      </c>
      <c r="N247" s="230" t="str">
        <f>IFERROR(_xlfn.XLOOKUP($A247,'Raw Data'!$A:$A,'Raw Data'!$AY:$AY),"")</f>
        <v/>
      </c>
      <c r="O247" s="231" t="str">
        <f>IFERROR(1-(SUMIF('Plant BD'!$B:$B,A247,'Plant BD'!$AE:$AE)/(AA247+SUMIF('Plant BD'!$B:$B,A247,'Plant BD'!$AE:$AE))),"")</f>
        <v/>
      </c>
      <c r="P247" s="231"/>
      <c r="Q247" s="232"/>
      <c r="R247" s="231" t="str">
        <f>IFERROR(1-(SUMIF('Grid BD'!$B:$B,$A247,'Grid BD'!$AD:$AD)/($AA247+SUMIF('Grid BD'!$B:$B,$A247,'Grid BD'!AD:AD))),"")</f>
        <v/>
      </c>
      <c r="S247" s="6"/>
      <c r="T247" s="232"/>
      <c r="U247" s="233" t="str">
        <f t="shared" si="17"/>
        <v/>
      </c>
      <c r="V247" s="233"/>
      <c r="W247" s="234" t="str">
        <f t="shared" si="19"/>
        <v/>
      </c>
      <c r="X247" s="227" t="str">
        <f>IFERROR(_xlfn.XLOOKUP($A247,'Raw Data'!$A:$A,'Raw Data'!$BA:$BA),"")</f>
        <v/>
      </c>
      <c r="Y247" s="227" t="str">
        <f>IFERROR(_xlfn.XLOOKUP($A247,'Raw Data'!$A:$A,'Raw Data'!BJ:BJ),"")</f>
        <v/>
      </c>
      <c r="Z247" s="227" t="str">
        <f>IFERROR(_xlfn.XLOOKUP($A247,'Raw Data'!$A:$A,'Raw Data'!BK:BK),"")</f>
        <v/>
      </c>
      <c r="AA247" s="227" t="str">
        <f>IFERROR(_xlfn.XLOOKUP($A247,'Raw Data'!$A:$A,'Raw Data'!BL:BL),"")</f>
        <v/>
      </c>
      <c r="AB247" s="227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27">
        <f>IFERROR(_xlfn.XLOOKUP($D247,'Modelling New'!$D:$D,'Modelling New'!$T:$T)*1000,"")</f>
        <v>110013.10061975369</v>
      </c>
      <c r="AE247" s="234">
        <f>IFERROR(_xlfn.XLOOKUP($D247,'Modelling New'!$D:$D,'Modelling New'!$O:$O),"")</f>
        <v>0.70582805765293155</v>
      </c>
      <c r="AF247" s="234">
        <f>IFERROR(_xlfn.XLOOKUP($D247,'Modelling New'!$D:$D,'Modelling New'!$W:$W),"")</f>
        <v>0.18861294207281115</v>
      </c>
      <c r="AG247" s="234">
        <f>IFERROR(_xlfn.XLOOKUP($D247,'Modelling New'!$D:$D,'Modelling New'!AE:AE),"")</f>
        <v>0.995</v>
      </c>
      <c r="AH247" s="234">
        <v>0.99750000000000005</v>
      </c>
      <c r="AI247" s="6"/>
      <c r="AJ247" s="6"/>
      <c r="AK247" s="6"/>
      <c r="AL247" s="6"/>
      <c r="AM247" s="6"/>
      <c r="AN247" s="231"/>
      <c r="AO247" s="234"/>
      <c r="AP247" s="234"/>
      <c r="AQ247" s="234"/>
      <c r="AR247" s="227">
        <f>IFERROR(_xlfn.XLOOKUP($D247,'Modelling New'!$D:$D,'Modelling New'!$N:$N),"")</f>
        <v>24.303100000000001</v>
      </c>
      <c r="AS247" s="227"/>
    </row>
    <row r="248" spans="1:45" x14ac:dyDescent="0.35">
      <c r="A248" s="226">
        <f t="shared" si="18"/>
        <v>45991</v>
      </c>
      <c r="B248" s="227">
        <f>YEAR(Daily_KPI[[#This Row],[Date]])+IF(MONTH(Daily_KPI[[#This Row],[Date]])&gt;=4,1,0)</f>
        <v>2026</v>
      </c>
      <c r="C248" s="6">
        <f>YEAR(Daily_KPI[[#This Row],[Date]])</f>
        <v>2025</v>
      </c>
      <c r="D248" s="228">
        <f>Daily_KPI[[#This Row],[Date]]-DAY(Daily_KPI[[#This Row],[Date]])+1</f>
        <v>45962</v>
      </c>
      <c r="E248" s="6">
        <f t="shared" si="20"/>
        <v>30</v>
      </c>
      <c r="F248" s="229" t="str">
        <f>IFERROR(_xlfn.XLOOKUP($A248,'Raw Data'!$A:$A,'Raw Data'!$BR:$BR),"")</f>
        <v/>
      </c>
      <c r="G248" s="230" t="str">
        <f>IFERROR(_xlfn.XLOOKUP($A248,'Raw Data'!$A:$A,'Raw Data'!$AO:$AO),"")</f>
        <v/>
      </c>
      <c r="H248" s="230"/>
      <c r="I248" s="230" t="str">
        <f>IFERROR(_xlfn.XLOOKUP($A248,'Raw Data'!$A:$A,'Raw Data'!$AR:$AR),"")</f>
        <v/>
      </c>
      <c r="J248" s="230"/>
      <c r="K248" s="230" t="str">
        <f>IFERROR(_xlfn.XLOOKUP($A248,'Raw Data'!$A:$A,'Raw Data'!$AV:$AV),"")</f>
        <v/>
      </c>
      <c r="L248" s="230" t="str">
        <f>IFERROR(_xlfn.XLOOKUP($A248,'Raw Data'!$A:$A,'Raw Data'!$AW:$AW),"")</f>
        <v/>
      </c>
      <c r="M248" s="230" t="str">
        <f>IFERROR(_xlfn.XLOOKUP($A248,'Raw Data'!$A:$A,'Raw Data'!$AX:$AX),"")</f>
        <v/>
      </c>
      <c r="N248" s="230" t="str">
        <f>IFERROR(_xlfn.XLOOKUP($A248,'Raw Data'!$A:$A,'Raw Data'!$AY:$AY),"")</f>
        <v/>
      </c>
      <c r="O248" s="231" t="str">
        <f>IFERROR(1-(SUMIF('Plant BD'!$B:$B,A248,'Plant BD'!$AE:$AE)/(AA248+SUMIF('Plant BD'!$B:$B,A248,'Plant BD'!$AE:$AE))),"")</f>
        <v/>
      </c>
      <c r="P248" s="231"/>
      <c r="Q248" s="232"/>
      <c r="R248" s="231" t="str">
        <f>IFERROR(1-(SUMIF('Grid BD'!$B:$B,$A248,'Grid BD'!$AD:$AD)/($AA248+SUMIF('Grid BD'!$B:$B,$A248,'Grid BD'!AD:AD))),"")</f>
        <v/>
      </c>
      <c r="S248" s="6"/>
      <c r="T248" s="232"/>
      <c r="U248" s="233" t="str">
        <f t="shared" si="17"/>
        <v/>
      </c>
      <c r="V248" s="233"/>
      <c r="W248" s="234" t="str">
        <f t="shared" si="19"/>
        <v/>
      </c>
      <c r="X248" s="227" t="str">
        <f>IFERROR(_xlfn.XLOOKUP($A248,'Raw Data'!$A:$A,'Raw Data'!$BA:$BA),"")</f>
        <v/>
      </c>
      <c r="Y248" s="227" t="str">
        <f>IFERROR(_xlfn.XLOOKUP($A248,'Raw Data'!$A:$A,'Raw Data'!BJ:BJ),"")</f>
        <v/>
      </c>
      <c r="Z248" s="227" t="str">
        <f>IFERROR(_xlfn.XLOOKUP($A248,'Raw Data'!$A:$A,'Raw Data'!BK:BK),"")</f>
        <v/>
      </c>
      <c r="AA248" s="227" t="str">
        <f>IFERROR(_xlfn.XLOOKUP($A248,'Raw Data'!$A:$A,'Raw Data'!BL:BL),"")</f>
        <v/>
      </c>
      <c r="AB248" s="227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27">
        <f>IFERROR(_xlfn.XLOOKUP($D248,'Modelling New'!$D:$D,'Modelling New'!$T:$T)*1000,"")</f>
        <v>110013.10061975369</v>
      </c>
      <c r="AE248" s="234">
        <f>IFERROR(_xlfn.XLOOKUP($D248,'Modelling New'!$D:$D,'Modelling New'!$O:$O),"")</f>
        <v>0.70582805765293155</v>
      </c>
      <c r="AF248" s="234">
        <f>IFERROR(_xlfn.XLOOKUP($D248,'Modelling New'!$D:$D,'Modelling New'!$W:$W),"")</f>
        <v>0.18861294207281115</v>
      </c>
      <c r="AG248" s="234">
        <f>IFERROR(_xlfn.XLOOKUP($D248,'Modelling New'!$D:$D,'Modelling New'!AE:AE),"")</f>
        <v>0.995</v>
      </c>
      <c r="AH248" s="234">
        <v>0.99750000000000005</v>
      </c>
      <c r="AI248" s="6"/>
      <c r="AJ248" s="6"/>
      <c r="AK248" s="6"/>
      <c r="AL248" s="6"/>
      <c r="AM248" s="6"/>
      <c r="AN248" s="231"/>
      <c r="AO248" s="234"/>
      <c r="AP248" s="234"/>
      <c r="AQ248" s="234"/>
      <c r="AR248" s="227">
        <f>IFERROR(_xlfn.XLOOKUP($D248,'Modelling New'!$D:$D,'Modelling New'!$N:$N),"")</f>
        <v>24.303100000000001</v>
      </c>
      <c r="AS248" s="227"/>
    </row>
    <row r="249" spans="1:45" x14ac:dyDescent="0.35">
      <c r="A249" s="226">
        <f t="shared" si="18"/>
        <v>45992</v>
      </c>
      <c r="B249" s="227">
        <f>YEAR(Daily_KPI[[#This Row],[Date]])+IF(MONTH(Daily_KPI[[#This Row],[Date]])&gt;=4,1,0)</f>
        <v>2026</v>
      </c>
      <c r="C249" s="6">
        <f>YEAR(Daily_KPI[[#This Row],[Date]])</f>
        <v>2025</v>
      </c>
      <c r="D249" s="228">
        <f>Daily_KPI[[#This Row],[Date]]-DAY(Daily_KPI[[#This Row],[Date]])+1</f>
        <v>45992</v>
      </c>
      <c r="E249" s="6">
        <f t="shared" si="20"/>
        <v>31</v>
      </c>
      <c r="F249" s="229" t="str">
        <f>IFERROR(_xlfn.XLOOKUP($A249,'Raw Data'!$A:$A,'Raw Data'!$BR:$BR),"")</f>
        <v/>
      </c>
      <c r="G249" s="230" t="str">
        <f>IFERROR(_xlfn.XLOOKUP($A249,'Raw Data'!$A:$A,'Raw Data'!$AO:$AO),"")</f>
        <v/>
      </c>
      <c r="H249" s="230"/>
      <c r="I249" s="230" t="str">
        <f>IFERROR(_xlfn.XLOOKUP($A249,'Raw Data'!$A:$A,'Raw Data'!$AR:$AR),"")</f>
        <v/>
      </c>
      <c r="J249" s="230"/>
      <c r="K249" s="230" t="str">
        <f>IFERROR(_xlfn.XLOOKUP($A249,'Raw Data'!$A:$A,'Raw Data'!$AV:$AV),"")</f>
        <v/>
      </c>
      <c r="L249" s="230" t="str">
        <f>IFERROR(_xlfn.XLOOKUP($A249,'Raw Data'!$A:$A,'Raw Data'!$AW:$AW),"")</f>
        <v/>
      </c>
      <c r="M249" s="230" t="str">
        <f>IFERROR(_xlfn.XLOOKUP($A249,'Raw Data'!$A:$A,'Raw Data'!$AX:$AX),"")</f>
        <v/>
      </c>
      <c r="N249" s="230" t="str">
        <f>IFERROR(_xlfn.XLOOKUP($A249,'Raw Data'!$A:$A,'Raw Data'!$AY:$AY),"")</f>
        <v/>
      </c>
      <c r="O249" s="231" t="str">
        <f>IFERROR(1-(SUMIF('Plant BD'!$B:$B,A249,'Plant BD'!$AE:$AE)/(AA249+SUMIF('Plant BD'!$B:$B,A249,'Plant BD'!$AE:$AE))),"")</f>
        <v/>
      </c>
      <c r="P249" s="231"/>
      <c r="Q249" s="232"/>
      <c r="R249" s="231" t="str">
        <f>IFERROR(1-(SUMIF('Grid BD'!$B:$B,$A249,'Grid BD'!$AD:$AD)/($AA249+SUMIF('Grid BD'!$B:$B,$A249,'Grid BD'!AD:AD))),"")</f>
        <v/>
      </c>
      <c r="S249" s="6"/>
      <c r="T249" s="232"/>
      <c r="U249" s="233" t="str">
        <f t="shared" si="17"/>
        <v/>
      </c>
      <c r="V249" s="233"/>
      <c r="W249" s="234" t="str">
        <f t="shared" si="19"/>
        <v/>
      </c>
      <c r="X249" s="227" t="str">
        <f>IFERROR(_xlfn.XLOOKUP($A249,'Raw Data'!$A:$A,'Raw Data'!$BA:$BA),"")</f>
        <v/>
      </c>
      <c r="Y249" s="227" t="str">
        <f>IFERROR(_xlfn.XLOOKUP($A249,'Raw Data'!$A:$A,'Raw Data'!BJ:BJ),"")</f>
        <v/>
      </c>
      <c r="Z249" s="227" t="str">
        <f>IFERROR(_xlfn.XLOOKUP($A249,'Raw Data'!$A:$A,'Raw Data'!BK:BK),"")</f>
        <v/>
      </c>
      <c r="AA249" s="227" t="str">
        <f>IFERROR(_xlfn.XLOOKUP($A249,'Raw Data'!$A:$A,'Raw Data'!BL:BL),"")</f>
        <v/>
      </c>
      <c r="AB249" s="227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27">
        <f>IFERROR(_xlfn.XLOOKUP($D249,'Modelling New'!$D:$D,'Modelling New'!$T:$T)*1000,"")</f>
        <v>111806.4041783969</v>
      </c>
      <c r="AE249" s="234">
        <f>IFERROR(_xlfn.XLOOKUP($D249,'Modelling New'!$D:$D,'Modelling New'!$O:$O),"")</f>
        <v>0.709882979577386</v>
      </c>
      <c r="AF249" s="234">
        <f>IFERROR(_xlfn.XLOOKUP($D249,'Modelling New'!$D:$D,'Modelling New'!$W:$W),"")</f>
        <v>0.19168748736168928</v>
      </c>
      <c r="AG249" s="234">
        <f>IFERROR(_xlfn.XLOOKUP($D249,'Modelling New'!$D:$D,'Modelling New'!AE:AE),"")</f>
        <v>0.995</v>
      </c>
      <c r="AH249" s="234">
        <v>0.99750000000000005</v>
      </c>
      <c r="AI249" s="6"/>
      <c r="AJ249" s="6"/>
      <c r="AK249" s="6"/>
      <c r="AL249" s="6"/>
      <c r="AM249" s="6"/>
      <c r="AN249" s="231"/>
      <c r="AO249" s="234"/>
      <c r="AP249" s="234"/>
      <c r="AQ249" s="234"/>
      <c r="AR249" s="227">
        <f>IFERROR(_xlfn.XLOOKUP($D249,'Modelling New'!$D:$D,'Modelling New'!$N:$N),"")</f>
        <v>24.303100000000001</v>
      </c>
      <c r="AS249" s="227"/>
    </row>
    <row r="250" spans="1:45" x14ac:dyDescent="0.35">
      <c r="A250" s="226">
        <f t="shared" si="18"/>
        <v>45993</v>
      </c>
      <c r="B250" s="227">
        <f>YEAR(Daily_KPI[[#This Row],[Date]])+IF(MONTH(Daily_KPI[[#This Row],[Date]])&gt;=4,1,0)</f>
        <v>2026</v>
      </c>
      <c r="C250" s="6">
        <f>YEAR(Daily_KPI[[#This Row],[Date]])</f>
        <v>2025</v>
      </c>
      <c r="D250" s="228">
        <f>Daily_KPI[[#This Row],[Date]]-DAY(Daily_KPI[[#This Row],[Date]])+1</f>
        <v>45992</v>
      </c>
      <c r="E250" s="6">
        <f t="shared" si="20"/>
        <v>31</v>
      </c>
      <c r="F250" s="229" t="str">
        <f>IFERROR(_xlfn.XLOOKUP($A250,'Raw Data'!$A:$A,'Raw Data'!$BR:$BR),"")</f>
        <v/>
      </c>
      <c r="G250" s="230" t="str">
        <f>IFERROR(_xlfn.XLOOKUP($A250,'Raw Data'!$A:$A,'Raw Data'!$AO:$AO),"")</f>
        <v/>
      </c>
      <c r="H250" s="230"/>
      <c r="I250" s="230" t="str">
        <f>IFERROR(_xlfn.XLOOKUP($A250,'Raw Data'!$A:$A,'Raw Data'!$AR:$AR),"")</f>
        <v/>
      </c>
      <c r="J250" s="230"/>
      <c r="K250" s="230" t="str">
        <f>IFERROR(_xlfn.XLOOKUP($A250,'Raw Data'!$A:$A,'Raw Data'!$AV:$AV),"")</f>
        <v/>
      </c>
      <c r="L250" s="230" t="str">
        <f>IFERROR(_xlfn.XLOOKUP($A250,'Raw Data'!$A:$A,'Raw Data'!$AW:$AW),"")</f>
        <v/>
      </c>
      <c r="M250" s="230" t="str">
        <f>IFERROR(_xlfn.XLOOKUP($A250,'Raw Data'!$A:$A,'Raw Data'!$AX:$AX),"")</f>
        <v/>
      </c>
      <c r="N250" s="230" t="str">
        <f>IFERROR(_xlfn.XLOOKUP($A250,'Raw Data'!$A:$A,'Raw Data'!$AY:$AY),"")</f>
        <v/>
      </c>
      <c r="O250" s="231" t="str">
        <f>IFERROR(1-(SUMIF('Plant BD'!$B:$B,A250,'Plant BD'!$AE:$AE)/(AA250+SUMIF('Plant BD'!$B:$B,A250,'Plant BD'!$AE:$AE))),"")</f>
        <v/>
      </c>
      <c r="P250" s="231"/>
      <c r="Q250" s="232"/>
      <c r="R250" s="231" t="str">
        <f>IFERROR(1-(SUMIF('Grid BD'!$B:$B,$A250,'Grid BD'!$AD:$AD)/($AA250+SUMIF('Grid BD'!$B:$B,$A250,'Grid BD'!AD:AD))),"")</f>
        <v/>
      </c>
      <c r="S250" s="6"/>
      <c r="T250" s="232"/>
      <c r="U250" s="233" t="str">
        <f t="shared" si="17"/>
        <v/>
      </c>
      <c r="V250" s="233"/>
      <c r="W250" s="234" t="str">
        <f t="shared" si="19"/>
        <v/>
      </c>
      <c r="X250" s="227" t="str">
        <f>IFERROR(_xlfn.XLOOKUP($A250,'Raw Data'!$A:$A,'Raw Data'!$BA:$BA),"")</f>
        <v/>
      </c>
      <c r="Y250" s="227" t="str">
        <f>IFERROR(_xlfn.XLOOKUP($A250,'Raw Data'!$A:$A,'Raw Data'!BJ:BJ),"")</f>
        <v/>
      </c>
      <c r="Z250" s="227" t="str">
        <f>IFERROR(_xlfn.XLOOKUP($A250,'Raw Data'!$A:$A,'Raw Data'!BK:BK),"")</f>
        <v/>
      </c>
      <c r="AA250" s="227" t="str">
        <f>IFERROR(_xlfn.XLOOKUP($A250,'Raw Data'!$A:$A,'Raw Data'!BL:BL),"")</f>
        <v/>
      </c>
      <c r="AB250" s="227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27">
        <f>IFERROR(_xlfn.XLOOKUP($D250,'Modelling New'!$D:$D,'Modelling New'!$T:$T)*1000,"")</f>
        <v>111806.4041783969</v>
      </c>
      <c r="AE250" s="234">
        <f>IFERROR(_xlfn.XLOOKUP($D250,'Modelling New'!$D:$D,'Modelling New'!$O:$O),"")</f>
        <v>0.709882979577386</v>
      </c>
      <c r="AF250" s="234">
        <f>IFERROR(_xlfn.XLOOKUP($D250,'Modelling New'!$D:$D,'Modelling New'!$W:$W),"")</f>
        <v>0.19168748736168928</v>
      </c>
      <c r="AG250" s="234">
        <f>IFERROR(_xlfn.XLOOKUP($D250,'Modelling New'!$D:$D,'Modelling New'!AE:AE),"")</f>
        <v>0.995</v>
      </c>
      <c r="AH250" s="234">
        <v>0.99750000000000005</v>
      </c>
      <c r="AI250" s="6"/>
      <c r="AJ250" s="6"/>
      <c r="AK250" s="6"/>
      <c r="AL250" s="6"/>
      <c r="AM250" s="6"/>
      <c r="AN250" s="231"/>
      <c r="AO250" s="234"/>
      <c r="AP250" s="234"/>
      <c r="AQ250" s="234"/>
      <c r="AR250" s="227">
        <f>IFERROR(_xlfn.XLOOKUP($D250,'Modelling New'!$D:$D,'Modelling New'!$N:$N),"")</f>
        <v>24.303100000000001</v>
      </c>
      <c r="AS250" s="227"/>
    </row>
    <row r="251" spans="1:45" x14ac:dyDescent="0.35">
      <c r="A251" s="226">
        <f t="shared" si="18"/>
        <v>45994</v>
      </c>
      <c r="B251" s="227">
        <f>YEAR(Daily_KPI[[#This Row],[Date]])+IF(MONTH(Daily_KPI[[#This Row],[Date]])&gt;=4,1,0)</f>
        <v>2026</v>
      </c>
      <c r="C251" s="6">
        <f>YEAR(Daily_KPI[[#This Row],[Date]])</f>
        <v>2025</v>
      </c>
      <c r="D251" s="228">
        <f>Daily_KPI[[#This Row],[Date]]-DAY(Daily_KPI[[#This Row],[Date]])+1</f>
        <v>45992</v>
      </c>
      <c r="E251" s="6">
        <f t="shared" si="20"/>
        <v>31</v>
      </c>
      <c r="F251" s="229" t="str">
        <f>IFERROR(_xlfn.XLOOKUP($A251,'Raw Data'!$A:$A,'Raw Data'!$BR:$BR),"")</f>
        <v/>
      </c>
      <c r="G251" s="230" t="str">
        <f>IFERROR(_xlfn.XLOOKUP($A251,'Raw Data'!$A:$A,'Raw Data'!$AO:$AO),"")</f>
        <v/>
      </c>
      <c r="H251" s="230"/>
      <c r="I251" s="230" t="str">
        <f>IFERROR(_xlfn.XLOOKUP($A251,'Raw Data'!$A:$A,'Raw Data'!$AR:$AR),"")</f>
        <v/>
      </c>
      <c r="J251" s="230"/>
      <c r="K251" s="230" t="str">
        <f>IFERROR(_xlfn.XLOOKUP($A251,'Raw Data'!$A:$A,'Raw Data'!$AV:$AV),"")</f>
        <v/>
      </c>
      <c r="L251" s="230" t="str">
        <f>IFERROR(_xlfn.XLOOKUP($A251,'Raw Data'!$A:$A,'Raw Data'!$AW:$AW),"")</f>
        <v/>
      </c>
      <c r="M251" s="230" t="str">
        <f>IFERROR(_xlfn.XLOOKUP($A251,'Raw Data'!$A:$A,'Raw Data'!$AX:$AX),"")</f>
        <v/>
      </c>
      <c r="N251" s="230" t="str">
        <f>IFERROR(_xlfn.XLOOKUP($A251,'Raw Data'!$A:$A,'Raw Data'!$AY:$AY),"")</f>
        <v/>
      </c>
      <c r="O251" s="231" t="str">
        <f>IFERROR(1-(SUMIF('Plant BD'!$B:$B,A251,'Plant BD'!$AE:$AE)/(AA251+SUMIF('Plant BD'!$B:$B,A251,'Plant BD'!$AE:$AE))),"")</f>
        <v/>
      </c>
      <c r="P251" s="231"/>
      <c r="Q251" s="232"/>
      <c r="R251" s="231" t="str">
        <f>IFERROR(1-(SUMIF('Grid BD'!$B:$B,$A251,'Grid BD'!$AD:$AD)/($AA251+SUMIF('Grid BD'!$B:$B,$A251,'Grid BD'!AD:AD))),"")</f>
        <v/>
      </c>
      <c r="S251" s="6"/>
      <c r="T251" s="232"/>
      <c r="U251" s="233" t="str">
        <f t="shared" si="17"/>
        <v/>
      </c>
      <c r="V251" s="233"/>
      <c r="W251" s="234" t="str">
        <f t="shared" si="19"/>
        <v/>
      </c>
      <c r="X251" s="227" t="str">
        <f>IFERROR(_xlfn.XLOOKUP($A251,'Raw Data'!$A:$A,'Raw Data'!$BA:$BA),"")</f>
        <v/>
      </c>
      <c r="Y251" s="227" t="str">
        <f>IFERROR(_xlfn.XLOOKUP($A251,'Raw Data'!$A:$A,'Raw Data'!BJ:BJ),"")</f>
        <v/>
      </c>
      <c r="Z251" s="227" t="str">
        <f>IFERROR(_xlfn.XLOOKUP($A251,'Raw Data'!$A:$A,'Raw Data'!BK:BK),"")</f>
        <v/>
      </c>
      <c r="AA251" s="227" t="str">
        <f>IFERROR(_xlfn.XLOOKUP($A251,'Raw Data'!$A:$A,'Raw Data'!BL:BL),"")</f>
        <v/>
      </c>
      <c r="AB251" s="227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27">
        <f>IFERROR(_xlfn.XLOOKUP($D251,'Modelling New'!$D:$D,'Modelling New'!$T:$T)*1000,"")</f>
        <v>111806.4041783969</v>
      </c>
      <c r="AE251" s="234">
        <f>IFERROR(_xlfn.XLOOKUP($D251,'Modelling New'!$D:$D,'Modelling New'!$O:$O),"")</f>
        <v>0.709882979577386</v>
      </c>
      <c r="AF251" s="234">
        <f>IFERROR(_xlfn.XLOOKUP($D251,'Modelling New'!$D:$D,'Modelling New'!$W:$W),"")</f>
        <v>0.19168748736168928</v>
      </c>
      <c r="AG251" s="234">
        <f>IFERROR(_xlfn.XLOOKUP($D251,'Modelling New'!$D:$D,'Modelling New'!AE:AE),"")</f>
        <v>0.995</v>
      </c>
      <c r="AH251" s="234">
        <v>0.99750000000000005</v>
      </c>
      <c r="AI251" s="6"/>
      <c r="AJ251" s="6"/>
      <c r="AK251" s="6"/>
      <c r="AL251" s="6"/>
      <c r="AM251" s="6"/>
      <c r="AN251" s="231"/>
      <c r="AO251" s="234"/>
      <c r="AP251" s="234"/>
      <c r="AQ251" s="234"/>
      <c r="AR251" s="227">
        <f>IFERROR(_xlfn.XLOOKUP($D251,'Modelling New'!$D:$D,'Modelling New'!$N:$N),"")</f>
        <v>24.303100000000001</v>
      </c>
      <c r="AS251" s="227"/>
    </row>
    <row r="252" spans="1:45" x14ac:dyDescent="0.35">
      <c r="A252" s="226">
        <f t="shared" si="18"/>
        <v>45995</v>
      </c>
      <c r="B252" s="227">
        <f>YEAR(Daily_KPI[[#This Row],[Date]])+IF(MONTH(Daily_KPI[[#This Row],[Date]])&gt;=4,1,0)</f>
        <v>2026</v>
      </c>
      <c r="C252" s="6">
        <f>YEAR(Daily_KPI[[#This Row],[Date]])</f>
        <v>2025</v>
      </c>
      <c r="D252" s="228">
        <f>Daily_KPI[[#This Row],[Date]]-DAY(Daily_KPI[[#This Row],[Date]])+1</f>
        <v>45992</v>
      </c>
      <c r="E252" s="6">
        <f t="shared" si="20"/>
        <v>31</v>
      </c>
      <c r="F252" s="229" t="str">
        <f>IFERROR(_xlfn.XLOOKUP($A252,'Raw Data'!$A:$A,'Raw Data'!$BR:$BR),"")</f>
        <v/>
      </c>
      <c r="G252" s="230" t="str">
        <f>IFERROR(_xlfn.XLOOKUP($A252,'Raw Data'!$A:$A,'Raw Data'!$AO:$AO),"")</f>
        <v/>
      </c>
      <c r="H252" s="230"/>
      <c r="I252" s="230" t="str">
        <f>IFERROR(_xlfn.XLOOKUP($A252,'Raw Data'!$A:$A,'Raw Data'!$AR:$AR),"")</f>
        <v/>
      </c>
      <c r="J252" s="230"/>
      <c r="K252" s="230" t="str">
        <f>IFERROR(_xlfn.XLOOKUP($A252,'Raw Data'!$A:$A,'Raw Data'!$AV:$AV),"")</f>
        <v/>
      </c>
      <c r="L252" s="230" t="str">
        <f>IFERROR(_xlfn.XLOOKUP($A252,'Raw Data'!$A:$A,'Raw Data'!$AW:$AW),"")</f>
        <v/>
      </c>
      <c r="M252" s="230" t="str">
        <f>IFERROR(_xlfn.XLOOKUP($A252,'Raw Data'!$A:$A,'Raw Data'!$AX:$AX),"")</f>
        <v/>
      </c>
      <c r="N252" s="230" t="str">
        <f>IFERROR(_xlfn.XLOOKUP($A252,'Raw Data'!$A:$A,'Raw Data'!$AY:$AY),"")</f>
        <v/>
      </c>
      <c r="O252" s="231" t="str">
        <f>IFERROR(1-(SUMIF('Plant BD'!$B:$B,A252,'Plant BD'!$AE:$AE)/(AA252+SUMIF('Plant BD'!$B:$B,A252,'Plant BD'!$AE:$AE))),"")</f>
        <v/>
      </c>
      <c r="P252" s="231"/>
      <c r="Q252" s="232"/>
      <c r="R252" s="231" t="str">
        <f>IFERROR(1-(SUMIF('Grid BD'!$B:$B,$A252,'Grid BD'!$AD:$AD)/($AA252+SUMIF('Grid BD'!$B:$B,$A252,'Grid BD'!AD:AD))),"")</f>
        <v/>
      </c>
      <c r="S252" s="6"/>
      <c r="T252" s="232"/>
      <c r="U252" s="233" t="str">
        <f t="shared" si="17"/>
        <v/>
      </c>
      <c r="V252" s="233"/>
      <c r="W252" s="234" t="str">
        <f t="shared" si="19"/>
        <v/>
      </c>
      <c r="X252" s="227" t="str">
        <f>IFERROR(_xlfn.XLOOKUP($A252,'Raw Data'!$A:$A,'Raw Data'!$BA:$BA),"")</f>
        <v/>
      </c>
      <c r="Y252" s="227" t="str">
        <f>IFERROR(_xlfn.XLOOKUP($A252,'Raw Data'!$A:$A,'Raw Data'!BJ:BJ),"")</f>
        <v/>
      </c>
      <c r="Z252" s="227" t="str">
        <f>IFERROR(_xlfn.XLOOKUP($A252,'Raw Data'!$A:$A,'Raw Data'!BK:BK),"")</f>
        <v/>
      </c>
      <c r="AA252" s="227" t="str">
        <f>IFERROR(_xlfn.XLOOKUP($A252,'Raw Data'!$A:$A,'Raw Data'!BL:BL),"")</f>
        <v/>
      </c>
      <c r="AB252" s="227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27">
        <f>IFERROR(_xlfn.XLOOKUP($D252,'Modelling New'!$D:$D,'Modelling New'!$T:$T)*1000,"")</f>
        <v>111806.4041783969</v>
      </c>
      <c r="AE252" s="234">
        <f>IFERROR(_xlfn.XLOOKUP($D252,'Modelling New'!$D:$D,'Modelling New'!$O:$O),"")</f>
        <v>0.709882979577386</v>
      </c>
      <c r="AF252" s="234">
        <f>IFERROR(_xlfn.XLOOKUP($D252,'Modelling New'!$D:$D,'Modelling New'!$W:$W),"")</f>
        <v>0.19168748736168928</v>
      </c>
      <c r="AG252" s="234">
        <f>IFERROR(_xlfn.XLOOKUP($D252,'Modelling New'!$D:$D,'Modelling New'!AE:AE),"")</f>
        <v>0.995</v>
      </c>
      <c r="AH252" s="234">
        <v>0.99750000000000005</v>
      </c>
      <c r="AI252" s="6"/>
      <c r="AJ252" s="6"/>
      <c r="AK252" s="6"/>
      <c r="AL252" s="6"/>
      <c r="AM252" s="6"/>
      <c r="AN252" s="231"/>
      <c r="AO252" s="234"/>
      <c r="AP252" s="234"/>
      <c r="AQ252" s="234"/>
      <c r="AR252" s="227">
        <f>IFERROR(_xlfn.XLOOKUP($D252,'Modelling New'!$D:$D,'Modelling New'!$N:$N),"")</f>
        <v>24.303100000000001</v>
      </c>
      <c r="AS252" s="227"/>
    </row>
    <row r="253" spans="1:45" x14ac:dyDescent="0.35">
      <c r="A253" s="226">
        <f t="shared" si="18"/>
        <v>45996</v>
      </c>
      <c r="B253" s="227">
        <f>YEAR(Daily_KPI[[#This Row],[Date]])+IF(MONTH(Daily_KPI[[#This Row],[Date]])&gt;=4,1,0)</f>
        <v>2026</v>
      </c>
      <c r="C253" s="6">
        <f>YEAR(Daily_KPI[[#This Row],[Date]])</f>
        <v>2025</v>
      </c>
      <c r="D253" s="228">
        <f>Daily_KPI[[#This Row],[Date]]-DAY(Daily_KPI[[#This Row],[Date]])+1</f>
        <v>45992</v>
      </c>
      <c r="E253" s="6">
        <f t="shared" si="20"/>
        <v>31</v>
      </c>
      <c r="F253" s="229" t="str">
        <f>IFERROR(_xlfn.XLOOKUP($A253,'Raw Data'!$A:$A,'Raw Data'!$BR:$BR),"")</f>
        <v/>
      </c>
      <c r="G253" s="230" t="str">
        <f>IFERROR(_xlfn.XLOOKUP($A253,'Raw Data'!$A:$A,'Raw Data'!$AO:$AO),"")</f>
        <v/>
      </c>
      <c r="H253" s="230"/>
      <c r="I253" s="230" t="str">
        <f>IFERROR(_xlfn.XLOOKUP($A253,'Raw Data'!$A:$A,'Raw Data'!$AR:$AR),"")</f>
        <v/>
      </c>
      <c r="J253" s="230"/>
      <c r="K253" s="230" t="str">
        <f>IFERROR(_xlfn.XLOOKUP($A253,'Raw Data'!$A:$A,'Raw Data'!$AV:$AV),"")</f>
        <v/>
      </c>
      <c r="L253" s="230" t="str">
        <f>IFERROR(_xlfn.XLOOKUP($A253,'Raw Data'!$A:$A,'Raw Data'!$AW:$AW),"")</f>
        <v/>
      </c>
      <c r="M253" s="230" t="str">
        <f>IFERROR(_xlfn.XLOOKUP($A253,'Raw Data'!$A:$A,'Raw Data'!$AX:$AX),"")</f>
        <v/>
      </c>
      <c r="N253" s="230" t="str">
        <f>IFERROR(_xlfn.XLOOKUP($A253,'Raw Data'!$A:$A,'Raw Data'!$AY:$AY),"")</f>
        <v/>
      </c>
      <c r="O253" s="231" t="str">
        <f>IFERROR(1-(SUMIF('Plant BD'!$B:$B,A253,'Plant BD'!$AE:$AE)/(AA253+SUMIF('Plant BD'!$B:$B,A253,'Plant BD'!$AE:$AE))),"")</f>
        <v/>
      </c>
      <c r="P253" s="231"/>
      <c r="Q253" s="232"/>
      <c r="R253" s="231" t="str">
        <f>IFERROR(1-(SUMIF('Grid BD'!$B:$B,$A253,'Grid BD'!$AD:$AD)/($AA253+SUMIF('Grid BD'!$B:$B,$A253,'Grid BD'!AD:AD))),"")</f>
        <v/>
      </c>
      <c r="S253" s="6"/>
      <c r="T253" s="232"/>
      <c r="U253" s="233" t="str">
        <f t="shared" si="17"/>
        <v/>
      </c>
      <c r="V253" s="233"/>
      <c r="W253" s="234" t="str">
        <f t="shared" si="19"/>
        <v/>
      </c>
      <c r="X253" s="227" t="str">
        <f>IFERROR(_xlfn.XLOOKUP($A253,'Raw Data'!$A:$A,'Raw Data'!$BA:$BA),"")</f>
        <v/>
      </c>
      <c r="Y253" s="227" t="str">
        <f>IFERROR(_xlfn.XLOOKUP($A253,'Raw Data'!$A:$A,'Raw Data'!BJ:BJ),"")</f>
        <v/>
      </c>
      <c r="Z253" s="227" t="str">
        <f>IFERROR(_xlfn.XLOOKUP($A253,'Raw Data'!$A:$A,'Raw Data'!BK:BK),"")</f>
        <v/>
      </c>
      <c r="AA253" s="227" t="str">
        <f>IFERROR(_xlfn.XLOOKUP($A253,'Raw Data'!$A:$A,'Raw Data'!BL:BL),"")</f>
        <v/>
      </c>
      <c r="AB253" s="227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27">
        <f>IFERROR(_xlfn.XLOOKUP($D253,'Modelling New'!$D:$D,'Modelling New'!$T:$T)*1000,"")</f>
        <v>111806.4041783969</v>
      </c>
      <c r="AE253" s="234">
        <f>IFERROR(_xlfn.XLOOKUP($D253,'Modelling New'!$D:$D,'Modelling New'!$O:$O),"")</f>
        <v>0.709882979577386</v>
      </c>
      <c r="AF253" s="234">
        <f>IFERROR(_xlfn.XLOOKUP($D253,'Modelling New'!$D:$D,'Modelling New'!$W:$W),"")</f>
        <v>0.19168748736168928</v>
      </c>
      <c r="AG253" s="234">
        <f>IFERROR(_xlfn.XLOOKUP($D253,'Modelling New'!$D:$D,'Modelling New'!AE:AE),"")</f>
        <v>0.995</v>
      </c>
      <c r="AH253" s="234">
        <v>0.99750000000000005</v>
      </c>
      <c r="AI253" s="6"/>
      <c r="AJ253" s="6"/>
      <c r="AK253" s="6"/>
      <c r="AL253" s="6"/>
      <c r="AM253" s="6"/>
      <c r="AN253" s="231"/>
      <c r="AO253" s="234"/>
      <c r="AP253" s="234"/>
      <c r="AQ253" s="234"/>
      <c r="AR253" s="227">
        <f>IFERROR(_xlfn.XLOOKUP($D253,'Modelling New'!$D:$D,'Modelling New'!$N:$N),"")</f>
        <v>24.303100000000001</v>
      </c>
      <c r="AS253" s="227"/>
    </row>
    <row r="254" spans="1:45" x14ac:dyDescent="0.35">
      <c r="A254" s="226">
        <f t="shared" si="18"/>
        <v>45997</v>
      </c>
      <c r="B254" s="227">
        <f>YEAR(Daily_KPI[[#This Row],[Date]])+IF(MONTH(Daily_KPI[[#This Row],[Date]])&gt;=4,1,0)</f>
        <v>2026</v>
      </c>
      <c r="C254" s="6">
        <f>YEAR(Daily_KPI[[#This Row],[Date]])</f>
        <v>2025</v>
      </c>
      <c r="D254" s="228">
        <f>Daily_KPI[[#This Row],[Date]]-DAY(Daily_KPI[[#This Row],[Date]])+1</f>
        <v>45992</v>
      </c>
      <c r="E254" s="6">
        <f t="shared" si="20"/>
        <v>31</v>
      </c>
      <c r="F254" s="229" t="str">
        <f>IFERROR(_xlfn.XLOOKUP($A254,'Raw Data'!$A:$A,'Raw Data'!$BR:$BR),"")</f>
        <v/>
      </c>
      <c r="G254" s="230" t="str">
        <f>IFERROR(_xlfn.XLOOKUP($A254,'Raw Data'!$A:$A,'Raw Data'!$AO:$AO),"")</f>
        <v/>
      </c>
      <c r="H254" s="230"/>
      <c r="I254" s="230" t="str">
        <f>IFERROR(_xlfn.XLOOKUP($A254,'Raw Data'!$A:$A,'Raw Data'!$AR:$AR),"")</f>
        <v/>
      </c>
      <c r="J254" s="230"/>
      <c r="K254" s="230" t="str">
        <f>IFERROR(_xlfn.XLOOKUP($A254,'Raw Data'!$A:$A,'Raw Data'!$AV:$AV),"")</f>
        <v/>
      </c>
      <c r="L254" s="230" t="str">
        <f>IFERROR(_xlfn.XLOOKUP($A254,'Raw Data'!$A:$A,'Raw Data'!$AW:$AW),"")</f>
        <v/>
      </c>
      <c r="M254" s="230" t="str">
        <f>IFERROR(_xlfn.XLOOKUP($A254,'Raw Data'!$A:$A,'Raw Data'!$AX:$AX),"")</f>
        <v/>
      </c>
      <c r="N254" s="230" t="str">
        <f>IFERROR(_xlfn.XLOOKUP($A254,'Raw Data'!$A:$A,'Raw Data'!$AY:$AY),"")</f>
        <v/>
      </c>
      <c r="O254" s="231" t="str">
        <f>IFERROR(1-(SUMIF('Plant BD'!$B:$B,A254,'Plant BD'!$AE:$AE)/(AA254+SUMIF('Plant BD'!$B:$B,A254,'Plant BD'!$AE:$AE))),"")</f>
        <v/>
      </c>
      <c r="P254" s="231"/>
      <c r="Q254" s="232"/>
      <c r="R254" s="231" t="str">
        <f>IFERROR(1-(SUMIF('Grid BD'!$B:$B,$A254,'Grid BD'!$AD:$AD)/($AA254+SUMIF('Grid BD'!$B:$B,$A254,'Grid BD'!AD:AD))),"")</f>
        <v/>
      </c>
      <c r="S254" s="6"/>
      <c r="T254" s="232"/>
      <c r="U254" s="233" t="str">
        <f t="shared" si="17"/>
        <v/>
      </c>
      <c r="V254" s="233"/>
      <c r="W254" s="234" t="str">
        <f t="shared" si="19"/>
        <v/>
      </c>
      <c r="X254" s="227" t="str">
        <f>IFERROR(_xlfn.XLOOKUP($A254,'Raw Data'!$A:$A,'Raw Data'!$BA:$BA),"")</f>
        <v/>
      </c>
      <c r="Y254" s="227" t="str">
        <f>IFERROR(_xlfn.XLOOKUP($A254,'Raw Data'!$A:$A,'Raw Data'!BJ:BJ),"")</f>
        <v/>
      </c>
      <c r="Z254" s="227" t="str">
        <f>IFERROR(_xlfn.XLOOKUP($A254,'Raw Data'!$A:$A,'Raw Data'!BK:BK),"")</f>
        <v/>
      </c>
      <c r="AA254" s="227" t="str">
        <f>IFERROR(_xlfn.XLOOKUP($A254,'Raw Data'!$A:$A,'Raw Data'!BL:BL),"")</f>
        <v/>
      </c>
      <c r="AB254" s="227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27">
        <f>IFERROR(_xlfn.XLOOKUP($D254,'Modelling New'!$D:$D,'Modelling New'!$T:$T)*1000,"")</f>
        <v>111806.4041783969</v>
      </c>
      <c r="AE254" s="234">
        <f>IFERROR(_xlfn.XLOOKUP($D254,'Modelling New'!$D:$D,'Modelling New'!$O:$O),"")</f>
        <v>0.709882979577386</v>
      </c>
      <c r="AF254" s="234">
        <f>IFERROR(_xlfn.XLOOKUP($D254,'Modelling New'!$D:$D,'Modelling New'!$W:$W),"")</f>
        <v>0.19168748736168928</v>
      </c>
      <c r="AG254" s="234">
        <f>IFERROR(_xlfn.XLOOKUP($D254,'Modelling New'!$D:$D,'Modelling New'!AE:AE),"")</f>
        <v>0.995</v>
      </c>
      <c r="AH254" s="234">
        <v>0.99750000000000005</v>
      </c>
      <c r="AI254" s="6"/>
      <c r="AJ254" s="6"/>
      <c r="AK254" s="6"/>
      <c r="AL254" s="6"/>
      <c r="AM254" s="6"/>
      <c r="AN254" s="231"/>
      <c r="AO254" s="234"/>
      <c r="AP254" s="234"/>
      <c r="AQ254" s="234"/>
      <c r="AR254" s="227">
        <f>IFERROR(_xlfn.XLOOKUP($D254,'Modelling New'!$D:$D,'Modelling New'!$N:$N),"")</f>
        <v>24.303100000000001</v>
      </c>
      <c r="AS254" s="227"/>
    </row>
    <row r="255" spans="1:45" x14ac:dyDescent="0.35">
      <c r="A255" s="226">
        <f t="shared" si="18"/>
        <v>45998</v>
      </c>
      <c r="B255" s="227">
        <f>YEAR(Daily_KPI[[#This Row],[Date]])+IF(MONTH(Daily_KPI[[#This Row],[Date]])&gt;=4,1,0)</f>
        <v>2026</v>
      </c>
      <c r="C255" s="6">
        <f>YEAR(Daily_KPI[[#This Row],[Date]])</f>
        <v>2025</v>
      </c>
      <c r="D255" s="228">
        <f>Daily_KPI[[#This Row],[Date]]-DAY(Daily_KPI[[#This Row],[Date]])+1</f>
        <v>45992</v>
      </c>
      <c r="E255" s="6">
        <f t="shared" si="20"/>
        <v>31</v>
      </c>
      <c r="F255" s="229" t="str">
        <f>IFERROR(_xlfn.XLOOKUP($A255,'Raw Data'!$A:$A,'Raw Data'!$BR:$BR),"")</f>
        <v/>
      </c>
      <c r="G255" s="230" t="str">
        <f>IFERROR(_xlfn.XLOOKUP($A255,'Raw Data'!$A:$A,'Raw Data'!$AO:$AO),"")</f>
        <v/>
      </c>
      <c r="H255" s="230"/>
      <c r="I255" s="230" t="str">
        <f>IFERROR(_xlfn.XLOOKUP($A255,'Raw Data'!$A:$A,'Raw Data'!$AR:$AR),"")</f>
        <v/>
      </c>
      <c r="J255" s="230"/>
      <c r="K255" s="230" t="str">
        <f>IFERROR(_xlfn.XLOOKUP($A255,'Raw Data'!$A:$A,'Raw Data'!$AV:$AV),"")</f>
        <v/>
      </c>
      <c r="L255" s="230" t="str">
        <f>IFERROR(_xlfn.XLOOKUP($A255,'Raw Data'!$A:$A,'Raw Data'!$AW:$AW),"")</f>
        <v/>
      </c>
      <c r="M255" s="230" t="str">
        <f>IFERROR(_xlfn.XLOOKUP($A255,'Raw Data'!$A:$A,'Raw Data'!$AX:$AX),"")</f>
        <v/>
      </c>
      <c r="N255" s="230" t="str">
        <f>IFERROR(_xlfn.XLOOKUP($A255,'Raw Data'!$A:$A,'Raw Data'!$AY:$AY),"")</f>
        <v/>
      </c>
      <c r="O255" s="231" t="str">
        <f>IFERROR(1-(SUMIF('Plant BD'!$B:$B,A255,'Plant BD'!$AE:$AE)/(AA255+SUMIF('Plant BD'!$B:$B,A255,'Plant BD'!$AE:$AE))),"")</f>
        <v/>
      </c>
      <c r="P255" s="231"/>
      <c r="Q255" s="232"/>
      <c r="R255" s="231" t="str">
        <f>IFERROR(1-(SUMIF('Grid BD'!$B:$B,$A255,'Grid BD'!$AD:$AD)/($AA255+SUMIF('Grid BD'!$B:$B,$A255,'Grid BD'!AD:AD))),"")</f>
        <v/>
      </c>
      <c r="S255" s="6"/>
      <c r="T255" s="232"/>
      <c r="U255" s="233" t="str">
        <f t="shared" si="17"/>
        <v/>
      </c>
      <c r="V255" s="233"/>
      <c r="W255" s="234" t="str">
        <f t="shared" si="19"/>
        <v/>
      </c>
      <c r="X255" s="227" t="str">
        <f>IFERROR(_xlfn.XLOOKUP($A255,'Raw Data'!$A:$A,'Raw Data'!$BA:$BA),"")</f>
        <v/>
      </c>
      <c r="Y255" s="227" t="str">
        <f>IFERROR(_xlfn.XLOOKUP($A255,'Raw Data'!$A:$A,'Raw Data'!BJ:BJ),"")</f>
        <v/>
      </c>
      <c r="Z255" s="227" t="str">
        <f>IFERROR(_xlfn.XLOOKUP($A255,'Raw Data'!$A:$A,'Raw Data'!BK:BK),"")</f>
        <v/>
      </c>
      <c r="AA255" s="227" t="str">
        <f>IFERROR(_xlfn.XLOOKUP($A255,'Raw Data'!$A:$A,'Raw Data'!BL:BL),"")</f>
        <v/>
      </c>
      <c r="AB255" s="227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27">
        <f>IFERROR(_xlfn.XLOOKUP($D255,'Modelling New'!$D:$D,'Modelling New'!$T:$T)*1000,"")</f>
        <v>111806.4041783969</v>
      </c>
      <c r="AE255" s="234">
        <f>IFERROR(_xlfn.XLOOKUP($D255,'Modelling New'!$D:$D,'Modelling New'!$O:$O),"")</f>
        <v>0.709882979577386</v>
      </c>
      <c r="AF255" s="234">
        <f>IFERROR(_xlfn.XLOOKUP($D255,'Modelling New'!$D:$D,'Modelling New'!$W:$W),"")</f>
        <v>0.19168748736168928</v>
      </c>
      <c r="AG255" s="234">
        <f>IFERROR(_xlfn.XLOOKUP($D255,'Modelling New'!$D:$D,'Modelling New'!AE:AE),"")</f>
        <v>0.995</v>
      </c>
      <c r="AH255" s="234">
        <v>0.99750000000000005</v>
      </c>
      <c r="AI255" s="6"/>
      <c r="AJ255" s="6"/>
      <c r="AK255" s="6"/>
      <c r="AL255" s="6"/>
      <c r="AM255" s="6"/>
      <c r="AN255" s="231"/>
      <c r="AO255" s="234"/>
      <c r="AP255" s="234"/>
      <c r="AQ255" s="234"/>
      <c r="AR255" s="227">
        <f>IFERROR(_xlfn.XLOOKUP($D255,'Modelling New'!$D:$D,'Modelling New'!$N:$N),"")</f>
        <v>24.303100000000001</v>
      </c>
      <c r="AS255" s="227"/>
    </row>
    <row r="256" spans="1:45" x14ac:dyDescent="0.35">
      <c r="A256" s="226">
        <f t="shared" si="18"/>
        <v>45999</v>
      </c>
      <c r="B256" s="227">
        <f>YEAR(Daily_KPI[[#This Row],[Date]])+IF(MONTH(Daily_KPI[[#This Row],[Date]])&gt;=4,1,0)</f>
        <v>2026</v>
      </c>
      <c r="C256" s="6">
        <f>YEAR(Daily_KPI[[#This Row],[Date]])</f>
        <v>2025</v>
      </c>
      <c r="D256" s="228">
        <f>Daily_KPI[[#This Row],[Date]]-DAY(Daily_KPI[[#This Row],[Date]])+1</f>
        <v>45992</v>
      </c>
      <c r="E256" s="6">
        <f t="shared" si="20"/>
        <v>31</v>
      </c>
      <c r="F256" s="229" t="str">
        <f>IFERROR(_xlfn.XLOOKUP($A256,'Raw Data'!$A:$A,'Raw Data'!$BR:$BR),"")</f>
        <v/>
      </c>
      <c r="G256" s="230" t="str">
        <f>IFERROR(_xlfn.XLOOKUP($A256,'Raw Data'!$A:$A,'Raw Data'!$AO:$AO),"")</f>
        <v/>
      </c>
      <c r="H256" s="230"/>
      <c r="I256" s="230" t="str">
        <f>IFERROR(_xlfn.XLOOKUP($A256,'Raw Data'!$A:$A,'Raw Data'!$AR:$AR),"")</f>
        <v/>
      </c>
      <c r="J256" s="230"/>
      <c r="K256" s="230" t="str">
        <f>IFERROR(_xlfn.XLOOKUP($A256,'Raw Data'!$A:$A,'Raw Data'!$AV:$AV),"")</f>
        <v/>
      </c>
      <c r="L256" s="230" t="str">
        <f>IFERROR(_xlfn.XLOOKUP($A256,'Raw Data'!$A:$A,'Raw Data'!$AW:$AW),"")</f>
        <v/>
      </c>
      <c r="M256" s="230" t="str">
        <f>IFERROR(_xlfn.XLOOKUP($A256,'Raw Data'!$A:$A,'Raw Data'!$AX:$AX),"")</f>
        <v/>
      </c>
      <c r="N256" s="230" t="str">
        <f>IFERROR(_xlfn.XLOOKUP($A256,'Raw Data'!$A:$A,'Raw Data'!$AY:$AY),"")</f>
        <v/>
      </c>
      <c r="O256" s="231" t="str">
        <f>IFERROR(1-(SUMIF('Plant BD'!$B:$B,A256,'Plant BD'!$AE:$AE)/(AA256+SUMIF('Plant BD'!$B:$B,A256,'Plant BD'!$AE:$AE))),"")</f>
        <v/>
      </c>
      <c r="P256" s="231"/>
      <c r="Q256" s="232"/>
      <c r="R256" s="231" t="str">
        <f>IFERROR(1-(SUMIF('Grid BD'!$B:$B,$A256,'Grid BD'!$AD:$AD)/($AA256+SUMIF('Grid BD'!$B:$B,$A256,'Grid BD'!AD:AD))),"")</f>
        <v/>
      </c>
      <c r="S256" s="6"/>
      <c r="T256" s="232"/>
      <c r="U256" s="233" t="str">
        <f t="shared" si="17"/>
        <v/>
      </c>
      <c r="V256" s="233"/>
      <c r="W256" s="234" t="str">
        <f t="shared" si="19"/>
        <v/>
      </c>
      <c r="X256" s="227" t="str">
        <f>IFERROR(_xlfn.XLOOKUP($A256,'Raw Data'!$A:$A,'Raw Data'!$BA:$BA),"")</f>
        <v/>
      </c>
      <c r="Y256" s="227" t="str">
        <f>IFERROR(_xlfn.XLOOKUP($A256,'Raw Data'!$A:$A,'Raw Data'!BJ:BJ),"")</f>
        <v/>
      </c>
      <c r="Z256" s="227" t="str">
        <f>IFERROR(_xlfn.XLOOKUP($A256,'Raw Data'!$A:$A,'Raw Data'!BK:BK),"")</f>
        <v/>
      </c>
      <c r="AA256" s="227" t="str">
        <f>IFERROR(_xlfn.XLOOKUP($A256,'Raw Data'!$A:$A,'Raw Data'!BL:BL),"")</f>
        <v/>
      </c>
      <c r="AB256" s="227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27">
        <f>IFERROR(_xlfn.XLOOKUP($D256,'Modelling New'!$D:$D,'Modelling New'!$T:$T)*1000,"")</f>
        <v>111806.4041783969</v>
      </c>
      <c r="AE256" s="234">
        <f>IFERROR(_xlfn.XLOOKUP($D256,'Modelling New'!$D:$D,'Modelling New'!$O:$O),"")</f>
        <v>0.709882979577386</v>
      </c>
      <c r="AF256" s="234">
        <f>IFERROR(_xlfn.XLOOKUP($D256,'Modelling New'!$D:$D,'Modelling New'!$W:$W),"")</f>
        <v>0.19168748736168928</v>
      </c>
      <c r="AG256" s="234">
        <f>IFERROR(_xlfn.XLOOKUP($D256,'Modelling New'!$D:$D,'Modelling New'!AE:AE),"")</f>
        <v>0.995</v>
      </c>
      <c r="AH256" s="234">
        <v>0.99750000000000005</v>
      </c>
      <c r="AI256" s="6"/>
      <c r="AJ256" s="6"/>
      <c r="AK256" s="6"/>
      <c r="AL256" s="6"/>
      <c r="AM256" s="6"/>
      <c r="AN256" s="231"/>
      <c r="AO256" s="234"/>
      <c r="AP256" s="234"/>
      <c r="AQ256" s="234"/>
      <c r="AR256" s="227">
        <f>IFERROR(_xlfn.XLOOKUP($D256,'Modelling New'!$D:$D,'Modelling New'!$N:$N),"")</f>
        <v>24.303100000000001</v>
      </c>
      <c r="AS256" s="227"/>
    </row>
    <row r="257" spans="1:45" x14ac:dyDescent="0.35">
      <c r="A257" s="226">
        <f t="shared" si="18"/>
        <v>46000</v>
      </c>
      <c r="B257" s="227">
        <f>YEAR(Daily_KPI[[#This Row],[Date]])+IF(MONTH(Daily_KPI[[#This Row],[Date]])&gt;=4,1,0)</f>
        <v>2026</v>
      </c>
      <c r="C257" s="6">
        <f>YEAR(Daily_KPI[[#This Row],[Date]])</f>
        <v>2025</v>
      </c>
      <c r="D257" s="228">
        <f>Daily_KPI[[#This Row],[Date]]-DAY(Daily_KPI[[#This Row],[Date]])+1</f>
        <v>45992</v>
      </c>
      <c r="E257" s="6">
        <f t="shared" si="20"/>
        <v>31</v>
      </c>
      <c r="F257" s="229" t="str">
        <f>IFERROR(_xlfn.XLOOKUP($A257,'Raw Data'!$A:$A,'Raw Data'!$BR:$BR),"")</f>
        <v/>
      </c>
      <c r="G257" s="230" t="str">
        <f>IFERROR(_xlfn.XLOOKUP($A257,'Raw Data'!$A:$A,'Raw Data'!$AO:$AO),"")</f>
        <v/>
      </c>
      <c r="H257" s="230"/>
      <c r="I257" s="230" t="str">
        <f>IFERROR(_xlfn.XLOOKUP($A257,'Raw Data'!$A:$A,'Raw Data'!$AR:$AR),"")</f>
        <v/>
      </c>
      <c r="J257" s="230"/>
      <c r="K257" s="230" t="str">
        <f>IFERROR(_xlfn.XLOOKUP($A257,'Raw Data'!$A:$A,'Raw Data'!$AV:$AV),"")</f>
        <v/>
      </c>
      <c r="L257" s="230" t="str">
        <f>IFERROR(_xlfn.XLOOKUP($A257,'Raw Data'!$A:$A,'Raw Data'!$AW:$AW),"")</f>
        <v/>
      </c>
      <c r="M257" s="230" t="str">
        <f>IFERROR(_xlfn.XLOOKUP($A257,'Raw Data'!$A:$A,'Raw Data'!$AX:$AX),"")</f>
        <v/>
      </c>
      <c r="N257" s="230" t="str">
        <f>IFERROR(_xlfn.XLOOKUP($A257,'Raw Data'!$A:$A,'Raw Data'!$AY:$AY),"")</f>
        <v/>
      </c>
      <c r="O257" s="231" t="str">
        <f>IFERROR(1-(SUMIF('Plant BD'!$B:$B,A257,'Plant BD'!$AE:$AE)/(AA257+SUMIF('Plant BD'!$B:$B,A257,'Plant BD'!$AE:$AE))),"")</f>
        <v/>
      </c>
      <c r="P257" s="231"/>
      <c r="Q257" s="232"/>
      <c r="R257" s="231" t="str">
        <f>IFERROR(1-(SUMIF('Grid BD'!$B:$B,$A257,'Grid BD'!$AD:$AD)/($AA257+SUMIF('Grid BD'!$B:$B,$A257,'Grid BD'!AD:AD))),"")</f>
        <v/>
      </c>
      <c r="S257" s="6"/>
      <c r="T257" s="232"/>
      <c r="U257" s="233" t="str">
        <f t="shared" si="17"/>
        <v/>
      </c>
      <c r="V257" s="233"/>
      <c r="W257" s="234" t="str">
        <f t="shared" si="19"/>
        <v/>
      </c>
      <c r="X257" s="227" t="str">
        <f>IFERROR(_xlfn.XLOOKUP($A257,'Raw Data'!$A:$A,'Raw Data'!$BA:$BA),"")</f>
        <v/>
      </c>
      <c r="Y257" s="227" t="str">
        <f>IFERROR(_xlfn.XLOOKUP($A257,'Raw Data'!$A:$A,'Raw Data'!BJ:BJ),"")</f>
        <v/>
      </c>
      <c r="Z257" s="227" t="str">
        <f>IFERROR(_xlfn.XLOOKUP($A257,'Raw Data'!$A:$A,'Raw Data'!BK:BK),"")</f>
        <v/>
      </c>
      <c r="AA257" s="227" t="str">
        <f>IFERROR(_xlfn.XLOOKUP($A257,'Raw Data'!$A:$A,'Raw Data'!BL:BL),"")</f>
        <v/>
      </c>
      <c r="AB257" s="227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27">
        <f>IFERROR(_xlfn.XLOOKUP($D257,'Modelling New'!$D:$D,'Modelling New'!$T:$T)*1000,"")</f>
        <v>111806.4041783969</v>
      </c>
      <c r="AE257" s="234">
        <f>IFERROR(_xlfn.XLOOKUP($D257,'Modelling New'!$D:$D,'Modelling New'!$O:$O),"")</f>
        <v>0.709882979577386</v>
      </c>
      <c r="AF257" s="234">
        <f>IFERROR(_xlfn.XLOOKUP($D257,'Modelling New'!$D:$D,'Modelling New'!$W:$W),"")</f>
        <v>0.19168748736168928</v>
      </c>
      <c r="AG257" s="234">
        <f>IFERROR(_xlfn.XLOOKUP($D257,'Modelling New'!$D:$D,'Modelling New'!AE:AE),"")</f>
        <v>0.995</v>
      </c>
      <c r="AH257" s="234">
        <v>0.99750000000000005</v>
      </c>
      <c r="AI257" s="6"/>
      <c r="AJ257" s="6"/>
      <c r="AK257" s="6"/>
      <c r="AL257" s="6"/>
      <c r="AM257" s="6"/>
      <c r="AN257" s="231"/>
      <c r="AO257" s="234"/>
      <c r="AP257" s="234"/>
      <c r="AQ257" s="234"/>
      <c r="AR257" s="227">
        <f>IFERROR(_xlfn.XLOOKUP($D257,'Modelling New'!$D:$D,'Modelling New'!$N:$N),"")</f>
        <v>24.303100000000001</v>
      </c>
      <c r="AS257" s="227"/>
    </row>
    <row r="258" spans="1:45" x14ac:dyDescent="0.35">
      <c r="A258" s="226">
        <f t="shared" si="18"/>
        <v>46001</v>
      </c>
      <c r="B258" s="227">
        <f>YEAR(Daily_KPI[[#This Row],[Date]])+IF(MONTH(Daily_KPI[[#This Row],[Date]])&gt;=4,1,0)</f>
        <v>2026</v>
      </c>
      <c r="C258" s="6">
        <f>YEAR(Daily_KPI[[#This Row],[Date]])</f>
        <v>2025</v>
      </c>
      <c r="D258" s="228">
        <f>Daily_KPI[[#This Row],[Date]]-DAY(Daily_KPI[[#This Row],[Date]])+1</f>
        <v>45992</v>
      </c>
      <c r="E258" s="6">
        <f t="shared" si="20"/>
        <v>31</v>
      </c>
      <c r="F258" s="229" t="str">
        <f>IFERROR(_xlfn.XLOOKUP($A258,'Raw Data'!$A:$A,'Raw Data'!$BR:$BR),"")</f>
        <v/>
      </c>
      <c r="G258" s="230" t="str">
        <f>IFERROR(_xlfn.XLOOKUP($A258,'Raw Data'!$A:$A,'Raw Data'!$AO:$AO),"")</f>
        <v/>
      </c>
      <c r="H258" s="230"/>
      <c r="I258" s="230" t="str">
        <f>IFERROR(_xlfn.XLOOKUP($A258,'Raw Data'!$A:$A,'Raw Data'!$AR:$AR),"")</f>
        <v/>
      </c>
      <c r="J258" s="230"/>
      <c r="K258" s="230" t="str">
        <f>IFERROR(_xlfn.XLOOKUP($A258,'Raw Data'!$A:$A,'Raw Data'!$AV:$AV),"")</f>
        <v/>
      </c>
      <c r="L258" s="230" t="str">
        <f>IFERROR(_xlfn.XLOOKUP($A258,'Raw Data'!$A:$A,'Raw Data'!$AW:$AW),"")</f>
        <v/>
      </c>
      <c r="M258" s="230" t="str">
        <f>IFERROR(_xlfn.XLOOKUP($A258,'Raw Data'!$A:$A,'Raw Data'!$AX:$AX),"")</f>
        <v/>
      </c>
      <c r="N258" s="230" t="str">
        <f>IFERROR(_xlfn.XLOOKUP($A258,'Raw Data'!$A:$A,'Raw Data'!$AY:$AY),"")</f>
        <v/>
      </c>
      <c r="O258" s="231" t="str">
        <f>IFERROR(1-(SUMIF('Plant BD'!$B:$B,A258,'Plant BD'!$AE:$AE)/(AA258+SUMIF('Plant BD'!$B:$B,A258,'Plant BD'!$AE:$AE))),"")</f>
        <v/>
      </c>
      <c r="P258" s="231"/>
      <c r="Q258" s="232"/>
      <c r="R258" s="231" t="str">
        <f>IFERROR(1-(SUMIF('Grid BD'!$B:$B,$A258,'Grid BD'!$AD:$AD)/($AA258+SUMIF('Grid BD'!$B:$B,$A258,'Grid BD'!AD:AD))),"")</f>
        <v/>
      </c>
      <c r="S258" s="6"/>
      <c r="T258" s="232"/>
      <c r="U258" s="233" t="str">
        <f t="shared" si="17"/>
        <v/>
      </c>
      <c r="V258" s="233"/>
      <c r="W258" s="234" t="str">
        <f t="shared" si="19"/>
        <v/>
      </c>
      <c r="X258" s="227" t="str">
        <f>IFERROR(_xlfn.XLOOKUP($A258,'Raw Data'!$A:$A,'Raw Data'!$BA:$BA),"")</f>
        <v/>
      </c>
      <c r="Y258" s="227" t="str">
        <f>IFERROR(_xlfn.XLOOKUP($A258,'Raw Data'!$A:$A,'Raw Data'!BJ:BJ),"")</f>
        <v/>
      </c>
      <c r="Z258" s="227" t="str">
        <f>IFERROR(_xlfn.XLOOKUP($A258,'Raw Data'!$A:$A,'Raw Data'!BK:BK),"")</f>
        <v/>
      </c>
      <c r="AA258" s="227" t="str">
        <f>IFERROR(_xlfn.XLOOKUP($A258,'Raw Data'!$A:$A,'Raw Data'!BL:BL),"")</f>
        <v/>
      </c>
      <c r="AB258" s="227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27">
        <f>IFERROR(_xlfn.XLOOKUP($D258,'Modelling New'!$D:$D,'Modelling New'!$T:$T)*1000,"")</f>
        <v>111806.4041783969</v>
      </c>
      <c r="AE258" s="234">
        <f>IFERROR(_xlfn.XLOOKUP($D258,'Modelling New'!$D:$D,'Modelling New'!$O:$O),"")</f>
        <v>0.709882979577386</v>
      </c>
      <c r="AF258" s="234">
        <f>IFERROR(_xlfn.XLOOKUP($D258,'Modelling New'!$D:$D,'Modelling New'!$W:$W),"")</f>
        <v>0.19168748736168928</v>
      </c>
      <c r="AG258" s="234">
        <f>IFERROR(_xlfn.XLOOKUP($D258,'Modelling New'!$D:$D,'Modelling New'!AE:AE),"")</f>
        <v>0.995</v>
      </c>
      <c r="AH258" s="234">
        <v>0.99750000000000005</v>
      </c>
      <c r="AI258" s="6"/>
      <c r="AJ258" s="6"/>
      <c r="AK258" s="6"/>
      <c r="AL258" s="6"/>
      <c r="AM258" s="6"/>
      <c r="AN258" s="231"/>
      <c r="AO258" s="234"/>
      <c r="AP258" s="234"/>
      <c r="AQ258" s="234"/>
      <c r="AR258" s="227">
        <f>IFERROR(_xlfn.XLOOKUP($D258,'Modelling New'!$D:$D,'Modelling New'!$N:$N),"")</f>
        <v>24.303100000000001</v>
      </c>
      <c r="AS258" s="227"/>
    </row>
    <row r="259" spans="1:45" x14ac:dyDescent="0.35">
      <c r="A259" s="226">
        <f t="shared" si="18"/>
        <v>46002</v>
      </c>
      <c r="B259" s="227">
        <f>YEAR(Daily_KPI[[#This Row],[Date]])+IF(MONTH(Daily_KPI[[#This Row],[Date]])&gt;=4,1,0)</f>
        <v>2026</v>
      </c>
      <c r="C259" s="6">
        <f>YEAR(Daily_KPI[[#This Row],[Date]])</f>
        <v>2025</v>
      </c>
      <c r="D259" s="228">
        <f>Daily_KPI[[#This Row],[Date]]-DAY(Daily_KPI[[#This Row],[Date]])+1</f>
        <v>45992</v>
      </c>
      <c r="E259" s="6">
        <f t="shared" si="20"/>
        <v>31</v>
      </c>
      <c r="F259" s="229" t="str">
        <f>IFERROR(_xlfn.XLOOKUP($A259,'Raw Data'!$A:$A,'Raw Data'!$BR:$BR),"")</f>
        <v/>
      </c>
      <c r="G259" s="230" t="str">
        <f>IFERROR(_xlfn.XLOOKUP($A259,'Raw Data'!$A:$A,'Raw Data'!$AO:$AO),"")</f>
        <v/>
      </c>
      <c r="H259" s="230"/>
      <c r="I259" s="230" t="str">
        <f>IFERROR(_xlfn.XLOOKUP($A259,'Raw Data'!$A:$A,'Raw Data'!$AR:$AR),"")</f>
        <v/>
      </c>
      <c r="J259" s="230"/>
      <c r="K259" s="230" t="str">
        <f>IFERROR(_xlfn.XLOOKUP($A259,'Raw Data'!$A:$A,'Raw Data'!$AV:$AV),"")</f>
        <v/>
      </c>
      <c r="L259" s="230" t="str">
        <f>IFERROR(_xlfn.XLOOKUP($A259,'Raw Data'!$A:$A,'Raw Data'!$AW:$AW),"")</f>
        <v/>
      </c>
      <c r="M259" s="230" t="str">
        <f>IFERROR(_xlfn.XLOOKUP($A259,'Raw Data'!$A:$A,'Raw Data'!$AX:$AX),"")</f>
        <v/>
      </c>
      <c r="N259" s="230" t="str">
        <f>IFERROR(_xlfn.XLOOKUP($A259,'Raw Data'!$A:$A,'Raw Data'!$AY:$AY),"")</f>
        <v/>
      </c>
      <c r="O259" s="231" t="str">
        <f>IFERROR(1-(SUMIF('Plant BD'!$B:$B,A259,'Plant BD'!$AE:$AE)/(AA259+SUMIF('Plant BD'!$B:$B,A259,'Plant BD'!$AE:$AE))),"")</f>
        <v/>
      </c>
      <c r="P259" s="231"/>
      <c r="Q259" s="232"/>
      <c r="R259" s="231" t="str">
        <f>IFERROR(1-(SUMIF('Grid BD'!$B:$B,$A259,'Grid BD'!$AD:$AD)/($AA259+SUMIF('Grid BD'!$B:$B,$A259,'Grid BD'!AD:AD))),"")</f>
        <v/>
      </c>
      <c r="S259" s="6"/>
      <c r="T259" s="232"/>
      <c r="U259" s="233" t="str">
        <f t="shared" si="17"/>
        <v/>
      </c>
      <c r="V259" s="233"/>
      <c r="W259" s="234" t="str">
        <f t="shared" si="19"/>
        <v/>
      </c>
      <c r="X259" s="227" t="str">
        <f>IFERROR(_xlfn.XLOOKUP($A259,'Raw Data'!$A:$A,'Raw Data'!$BA:$BA),"")</f>
        <v/>
      </c>
      <c r="Y259" s="227" t="str">
        <f>IFERROR(_xlfn.XLOOKUP($A259,'Raw Data'!$A:$A,'Raw Data'!BJ:BJ),"")</f>
        <v/>
      </c>
      <c r="Z259" s="227" t="str">
        <f>IFERROR(_xlfn.XLOOKUP($A259,'Raw Data'!$A:$A,'Raw Data'!BK:BK),"")</f>
        <v/>
      </c>
      <c r="AA259" s="227" t="str">
        <f>IFERROR(_xlfn.XLOOKUP($A259,'Raw Data'!$A:$A,'Raw Data'!BL:BL),"")</f>
        <v/>
      </c>
      <c r="AB259" s="227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27">
        <f>IFERROR(_xlfn.XLOOKUP($D259,'Modelling New'!$D:$D,'Modelling New'!$T:$T)*1000,"")</f>
        <v>111806.4041783969</v>
      </c>
      <c r="AE259" s="234">
        <f>IFERROR(_xlfn.XLOOKUP($D259,'Modelling New'!$D:$D,'Modelling New'!$O:$O),"")</f>
        <v>0.709882979577386</v>
      </c>
      <c r="AF259" s="234">
        <f>IFERROR(_xlfn.XLOOKUP($D259,'Modelling New'!$D:$D,'Modelling New'!$W:$W),"")</f>
        <v>0.19168748736168928</v>
      </c>
      <c r="AG259" s="234">
        <f>IFERROR(_xlfn.XLOOKUP($D259,'Modelling New'!$D:$D,'Modelling New'!AE:AE),"")</f>
        <v>0.995</v>
      </c>
      <c r="AH259" s="234">
        <v>0.99750000000000005</v>
      </c>
      <c r="AI259" s="6"/>
      <c r="AJ259" s="6"/>
      <c r="AK259" s="6"/>
      <c r="AL259" s="6"/>
      <c r="AM259" s="6"/>
      <c r="AN259" s="231"/>
      <c r="AO259" s="234"/>
      <c r="AP259" s="234"/>
      <c r="AQ259" s="234"/>
      <c r="AR259" s="227">
        <f>IFERROR(_xlfn.XLOOKUP($D259,'Modelling New'!$D:$D,'Modelling New'!$N:$N),"")</f>
        <v>24.303100000000001</v>
      </c>
      <c r="AS259" s="227"/>
    </row>
    <row r="260" spans="1:45" x14ac:dyDescent="0.35">
      <c r="A260" s="226">
        <f t="shared" si="18"/>
        <v>46003</v>
      </c>
      <c r="B260" s="227">
        <f>YEAR(Daily_KPI[[#This Row],[Date]])+IF(MONTH(Daily_KPI[[#This Row],[Date]])&gt;=4,1,0)</f>
        <v>2026</v>
      </c>
      <c r="C260" s="6">
        <f>YEAR(Daily_KPI[[#This Row],[Date]])</f>
        <v>2025</v>
      </c>
      <c r="D260" s="228">
        <f>Daily_KPI[[#This Row],[Date]]-DAY(Daily_KPI[[#This Row],[Date]])+1</f>
        <v>45992</v>
      </c>
      <c r="E260" s="6">
        <f t="shared" si="20"/>
        <v>31</v>
      </c>
      <c r="F260" s="229" t="str">
        <f>IFERROR(_xlfn.XLOOKUP($A260,'Raw Data'!$A:$A,'Raw Data'!$BR:$BR),"")</f>
        <v/>
      </c>
      <c r="G260" s="230" t="str">
        <f>IFERROR(_xlfn.XLOOKUP($A260,'Raw Data'!$A:$A,'Raw Data'!$AO:$AO),"")</f>
        <v/>
      </c>
      <c r="H260" s="230"/>
      <c r="I260" s="230" t="str">
        <f>IFERROR(_xlfn.XLOOKUP($A260,'Raw Data'!$A:$A,'Raw Data'!$AR:$AR),"")</f>
        <v/>
      </c>
      <c r="J260" s="230"/>
      <c r="K260" s="230" t="str">
        <f>IFERROR(_xlfn.XLOOKUP($A260,'Raw Data'!$A:$A,'Raw Data'!$AV:$AV),"")</f>
        <v/>
      </c>
      <c r="L260" s="230" t="str">
        <f>IFERROR(_xlfn.XLOOKUP($A260,'Raw Data'!$A:$A,'Raw Data'!$AW:$AW),"")</f>
        <v/>
      </c>
      <c r="M260" s="230" t="str">
        <f>IFERROR(_xlfn.XLOOKUP($A260,'Raw Data'!$A:$A,'Raw Data'!$AX:$AX),"")</f>
        <v/>
      </c>
      <c r="N260" s="230" t="str">
        <f>IFERROR(_xlfn.XLOOKUP($A260,'Raw Data'!$A:$A,'Raw Data'!$AY:$AY),"")</f>
        <v/>
      </c>
      <c r="O260" s="231" t="str">
        <f>IFERROR(1-(SUMIF('Plant BD'!$B:$B,A260,'Plant BD'!$AE:$AE)/(AA260+SUMIF('Plant BD'!$B:$B,A260,'Plant BD'!$AE:$AE))),"")</f>
        <v/>
      </c>
      <c r="P260" s="231"/>
      <c r="Q260" s="232"/>
      <c r="R260" s="231" t="str">
        <f>IFERROR(1-(SUMIF('Grid BD'!$B:$B,$A260,'Grid BD'!$AD:$AD)/($AA260+SUMIF('Grid BD'!$B:$B,$A260,'Grid BD'!AD:AD))),"")</f>
        <v/>
      </c>
      <c r="S260" s="6"/>
      <c r="T260" s="232"/>
      <c r="U260" s="233" t="str">
        <f t="shared" si="17"/>
        <v/>
      </c>
      <c r="V260" s="233"/>
      <c r="W260" s="234" t="str">
        <f t="shared" si="19"/>
        <v/>
      </c>
      <c r="X260" s="227" t="str">
        <f>IFERROR(_xlfn.XLOOKUP($A260,'Raw Data'!$A:$A,'Raw Data'!$BA:$BA),"")</f>
        <v/>
      </c>
      <c r="Y260" s="227" t="str">
        <f>IFERROR(_xlfn.XLOOKUP($A260,'Raw Data'!$A:$A,'Raw Data'!BJ:BJ),"")</f>
        <v/>
      </c>
      <c r="Z260" s="227" t="str">
        <f>IFERROR(_xlfn.XLOOKUP($A260,'Raw Data'!$A:$A,'Raw Data'!BK:BK),"")</f>
        <v/>
      </c>
      <c r="AA260" s="227" t="str">
        <f>IFERROR(_xlfn.XLOOKUP($A260,'Raw Data'!$A:$A,'Raw Data'!BL:BL),"")</f>
        <v/>
      </c>
      <c r="AB260" s="227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27">
        <f>IFERROR(_xlfn.XLOOKUP($D260,'Modelling New'!$D:$D,'Modelling New'!$T:$T)*1000,"")</f>
        <v>111806.4041783969</v>
      </c>
      <c r="AE260" s="234">
        <f>IFERROR(_xlfn.XLOOKUP($D260,'Modelling New'!$D:$D,'Modelling New'!$O:$O),"")</f>
        <v>0.709882979577386</v>
      </c>
      <c r="AF260" s="234">
        <f>IFERROR(_xlfn.XLOOKUP($D260,'Modelling New'!$D:$D,'Modelling New'!$W:$W),"")</f>
        <v>0.19168748736168928</v>
      </c>
      <c r="AG260" s="234">
        <f>IFERROR(_xlfn.XLOOKUP($D260,'Modelling New'!$D:$D,'Modelling New'!AE:AE),"")</f>
        <v>0.995</v>
      </c>
      <c r="AH260" s="234">
        <v>0.99750000000000005</v>
      </c>
      <c r="AI260" s="6"/>
      <c r="AJ260" s="6"/>
      <c r="AK260" s="6"/>
      <c r="AL260" s="6"/>
      <c r="AM260" s="6"/>
      <c r="AN260" s="231"/>
      <c r="AO260" s="234"/>
      <c r="AP260" s="234"/>
      <c r="AQ260" s="234"/>
      <c r="AR260" s="227">
        <f>IFERROR(_xlfn.XLOOKUP($D260,'Modelling New'!$D:$D,'Modelling New'!$N:$N),"")</f>
        <v>24.303100000000001</v>
      </c>
      <c r="AS260" s="227"/>
    </row>
    <row r="261" spans="1:45" x14ac:dyDescent="0.35">
      <c r="A261" s="226">
        <f t="shared" si="18"/>
        <v>46004</v>
      </c>
      <c r="B261" s="227">
        <f>YEAR(Daily_KPI[[#This Row],[Date]])+IF(MONTH(Daily_KPI[[#This Row],[Date]])&gt;=4,1,0)</f>
        <v>2026</v>
      </c>
      <c r="C261" s="6">
        <f>YEAR(Daily_KPI[[#This Row],[Date]])</f>
        <v>2025</v>
      </c>
      <c r="D261" s="228">
        <f>Daily_KPI[[#This Row],[Date]]-DAY(Daily_KPI[[#This Row],[Date]])+1</f>
        <v>45992</v>
      </c>
      <c r="E261" s="6">
        <f t="shared" si="20"/>
        <v>31</v>
      </c>
      <c r="F261" s="229" t="str">
        <f>IFERROR(_xlfn.XLOOKUP($A261,'Raw Data'!$A:$A,'Raw Data'!$BR:$BR),"")</f>
        <v/>
      </c>
      <c r="G261" s="230" t="str">
        <f>IFERROR(_xlfn.XLOOKUP($A261,'Raw Data'!$A:$A,'Raw Data'!$AO:$AO),"")</f>
        <v/>
      </c>
      <c r="H261" s="230"/>
      <c r="I261" s="230" t="str">
        <f>IFERROR(_xlfn.XLOOKUP($A261,'Raw Data'!$A:$A,'Raw Data'!$AR:$AR),"")</f>
        <v/>
      </c>
      <c r="J261" s="230"/>
      <c r="K261" s="230" t="str">
        <f>IFERROR(_xlfn.XLOOKUP($A261,'Raw Data'!$A:$A,'Raw Data'!$AV:$AV),"")</f>
        <v/>
      </c>
      <c r="L261" s="230" t="str">
        <f>IFERROR(_xlfn.XLOOKUP($A261,'Raw Data'!$A:$A,'Raw Data'!$AW:$AW),"")</f>
        <v/>
      </c>
      <c r="M261" s="230" t="str">
        <f>IFERROR(_xlfn.XLOOKUP($A261,'Raw Data'!$A:$A,'Raw Data'!$AX:$AX),"")</f>
        <v/>
      </c>
      <c r="N261" s="230" t="str">
        <f>IFERROR(_xlfn.XLOOKUP($A261,'Raw Data'!$A:$A,'Raw Data'!$AY:$AY),"")</f>
        <v/>
      </c>
      <c r="O261" s="231" t="str">
        <f>IFERROR(1-(SUMIF('Plant BD'!$B:$B,A261,'Plant BD'!$AE:$AE)/(AA261+SUMIF('Plant BD'!$B:$B,A261,'Plant BD'!$AE:$AE))),"")</f>
        <v/>
      </c>
      <c r="P261" s="231"/>
      <c r="Q261" s="232"/>
      <c r="R261" s="231" t="str">
        <f>IFERROR(1-(SUMIF('Grid BD'!$B:$B,$A261,'Grid BD'!$AD:$AD)/($AA261+SUMIF('Grid BD'!$B:$B,$A261,'Grid BD'!AD:AD))),"")</f>
        <v/>
      </c>
      <c r="S261" s="6"/>
      <c r="T261" s="232"/>
      <c r="U261" s="233" t="str">
        <f t="shared" si="17"/>
        <v/>
      </c>
      <c r="V261" s="233"/>
      <c r="W261" s="234" t="str">
        <f t="shared" si="19"/>
        <v/>
      </c>
      <c r="X261" s="227" t="str">
        <f>IFERROR(_xlfn.XLOOKUP($A261,'Raw Data'!$A:$A,'Raw Data'!$BA:$BA),"")</f>
        <v/>
      </c>
      <c r="Y261" s="227" t="str">
        <f>IFERROR(_xlfn.XLOOKUP($A261,'Raw Data'!$A:$A,'Raw Data'!BJ:BJ),"")</f>
        <v/>
      </c>
      <c r="Z261" s="227" t="str">
        <f>IFERROR(_xlfn.XLOOKUP($A261,'Raw Data'!$A:$A,'Raw Data'!BK:BK),"")</f>
        <v/>
      </c>
      <c r="AA261" s="227" t="str">
        <f>IFERROR(_xlfn.XLOOKUP($A261,'Raw Data'!$A:$A,'Raw Data'!BL:BL),"")</f>
        <v/>
      </c>
      <c r="AB261" s="227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27">
        <f>IFERROR(_xlfn.XLOOKUP($D261,'Modelling New'!$D:$D,'Modelling New'!$T:$T)*1000,"")</f>
        <v>111806.4041783969</v>
      </c>
      <c r="AE261" s="234">
        <f>IFERROR(_xlfn.XLOOKUP($D261,'Modelling New'!$D:$D,'Modelling New'!$O:$O),"")</f>
        <v>0.709882979577386</v>
      </c>
      <c r="AF261" s="234">
        <f>IFERROR(_xlfn.XLOOKUP($D261,'Modelling New'!$D:$D,'Modelling New'!$W:$W),"")</f>
        <v>0.19168748736168928</v>
      </c>
      <c r="AG261" s="234">
        <f>IFERROR(_xlfn.XLOOKUP($D261,'Modelling New'!$D:$D,'Modelling New'!AE:AE),"")</f>
        <v>0.995</v>
      </c>
      <c r="AH261" s="234">
        <v>0.99750000000000005</v>
      </c>
      <c r="AI261" s="6"/>
      <c r="AJ261" s="6"/>
      <c r="AK261" s="6"/>
      <c r="AL261" s="6"/>
      <c r="AM261" s="6"/>
      <c r="AN261" s="231"/>
      <c r="AO261" s="234"/>
      <c r="AP261" s="234"/>
      <c r="AQ261" s="234"/>
      <c r="AR261" s="227">
        <f>IFERROR(_xlfn.XLOOKUP($D261,'Modelling New'!$D:$D,'Modelling New'!$N:$N),"")</f>
        <v>24.303100000000001</v>
      </c>
      <c r="AS261" s="227"/>
    </row>
    <row r="262" spans="1:45" x14ac:dyDescent="0.35">
      <c r="A262" s="226">
        <f t="shared" si="18"/>
        <v>46005</v>
      </c>
      <c r="B262" s="227">
        <f>YEAR(Daily_KPI[[#This Row],[Date]])+IF(MONTH(Daily_KPI[[#This Row],[Date]])&gt;=4,1,0)</f>
        <v>2026</v>
      </c>
      <c r="C262" s="6">
        <f>YEAR(Daily_KPI[[#This Row],[Date]])</f>
        <v>2025</v>
      </c>
      <c r="D262" s="228">
        <f>Daily_KPI[[#This Row],[Date]]-DAY(Daily_KPI[[#This Row],[Date]])+1</f>
        <v>45992</v>
      </c>
      <c r="E262" s="6">
        <f t="shared" si="20"/>
        <v>31</v>
      </c>
      <c r="F262" s="229" t="str">
        <f>IFERROR(_xlfn.XLOOKUP($A262,'Raw Data'!$A:$A,'Raw Data'!$BR:$BR),"")</f>
        <v/>
      </c>
      <c r="G262" s="230" t="str">
        <f>IFERROR(_xlfn.XLOOKUP($A262,'Raw Data'!$A:$A,'Raw Data'!$AO:$AO),"")</f>
        <v/>
      </c>
      <c r="H262" s="230"/>
      <c r="I262" s="230" t="str">
        <f>IFERROR(_xlfn.XLOOKUP($A262,'Raw Data'!$A:$A,'Raw Data'!$AR:$AR),"")</f>
        <v/>
      </c>
      <c r="J262" s="230"/>
      <c r="K262" s="230" t="str">
        <f>IFERROR(_xlfn.XLOOKUP($A262,'Raw Data'!$A:$A,'Raw Data'!$AV:$AV),"")</f>
        <v/>
      </c>
      <c r="L262" s="230" t="str">
        <f>IFERROR(_xlfn.XLOOKUP($A262,'Raw Data'!$A:$A,'Raw Data'!$AW:$AW),"")</f>
        <v/>
      </c>
      <c r="M262" s="230" t="str">
        <f>IFERROR(_xlfn.XLOOKUP($A262,'Raw Data'!$A:$A,'Raw Data'!$AX:$AX),"")</f>
        <v/>
      </c>
      <c r="N262" s="230" t="str">
        <f>IFERROR(_xlfn.XLOOKUP($A262,'Raw Data'!$A:$A,'Raw Data'!$AY:$AY),"")</f>
        <v/>
      </c>
      <c r="O262" s="231" t="str">
        <f>IFERROR(1-(SUMIF('Plant BD'!$B:$B,A262,'Plant BD'!$AE:$AE)/(AA262+SUMIF('Plant BD'!$B:$B,A262,'Plant BD'!$AE:$AE))),"")</f>
        <v/>
      </c>
      <c r="P262" s="231"/>
      <c r="Q262" s="232"/>
      <c r="R262" s="231" t="str">
        <f>IFERROR(1-(SUMIF('Grid BD'!$B:$B,$A262,'Grid BD'!$AD:$AD)/($AA262+SUMIF('Grid BD'!$B:$B,$A262,'Grid BD'!AD:AD))),"")</f>
        <v/>
      </c>
      <c r="S262" s="6"/>
      <c r="T262" s="232"/>
      <c r="U262" s="233" t="str">
        <f t="shared" si="17"/>
        <v/>
      </c>
      <c r="V262" s="233"/>
      <c r="W262" s="234" t="str">
        <f t="shared" si="19"/>
        <v/>
      </c>
      <c r="X262" s="227" t="str">
        <f>IFERROR(_xlfn.XLOOKUP($A262,'Raw Data'!$A:$A,'Raw Data'!$BA:$BA),"")</f>
        <v/>
      </c>
      <c r="Y262" s="227" t="str">
        <f>IFERROR(_xlfn.XLOOKUP($A262,'Raw Data'!$A:$A,'Raw Data'!BJ:BJ),"")</f>
        <v/>
      </c>
      <c r="Z262" s="227" t="str">
        <f>IFERROR(_xlfn.XLOOKUP($A262,'Raw Data'!$A:$A,'Raw Data'!BK:BK),"")</f>
        <v/>
      </c>
      <c r="AA262" s="227" t="str">
        <f>IFERROR(_xlfn.XLOOKUP($A262,'Raw Data'!$A:$A,'Raw Data'!BL:BL),"")</f>
        <v/>
      </c>
      <c r="AB262" s="227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27">
        <f>IFERROR(_xlfn.XLOOKUP($D262,'Modelling New'!$D:$D,'Modelling New'!$T:$T)*1000,"")</f>
        <v>111806.4041783969</v>
      </c>
      <c r="AE262" s="234">
        <f>IFERROR(_xlfn.XLOOKUP($D262,'Modelling New'!$D:$D,'Modelling New'!$O:$O),"")</f>
        <v>0.709882979577386</v>
      </c>
      <c r="AF262" s="234">
        <f>IFERROR(_xlfn.XLOOKUP($D262,'Modelling New'!$D:$D,'Modelling New'!$W:$W),"")</f>
        <v>0.19168748736168928</v>
      </c>
      <c r="AG262" s="234">
        <f>IFERROR(_xlfn.XLOOKUP($D262,'Modelling New'!$D:$D,'Modelling New'!AE:AE),"")</f>
        <v>0.995</v>
      </c>
      <c r="AH262" s="234">
        <v>0.99750000000000005</v>
      </c>
      <c r="AI262" s="6"/>
      <c r="AJ262" s="6"/>
      <c r="AK262" s="6"/>
      <c r="AL262" s="6"/>
      <c r="AM262" s="6"/>
      <c r="AN262" s="231"/>
      <c r="AO262" s="234"/>
      <c r="AP262" s="234"/>
      <c r="AQ262" s="234"/>
      <c r="AR262" s="227">
        <f>IFERROR(_xlfn.XLOOKUP($D262,'Modelling New'!$D:$D,'Modelling New'!$N:$N),"")</f>
        <v>24.303100000000001</v>
      </c>
      <c r="AS262" s="227"/>
    </row>
    <row r="263" spans="1:45" x14ac:dyDescent="0.35">
      <c r="A263" s="226">
        <f t="shared" si="18"/>
        <v>46006</v>
      </c>
      <c r="B263" s="227">
        <f>YEAR(Daily_KPI[[#This Row],[Date]])+IF(MONTH(Daily_KPI[[#This Row],[Date]])&gt;=4,1,0)</f>
        <v>2026</v>
      </c>
      <c r="C263" s="6">
        <f>YEAR(Daily_KPI[[#This Row],[Date]])</f>
        <v>2025</v>
      </c>
      <c r="D263" s="228">
        <f>Daily_KPI[[#This Row],[Date]]-DAY(Daily_KPI[[#This Row],[Date]])+1</f>
        <v>45992</v>
      </c>
      <c r="E263" s="6">
        <f t="shared" si="20"/>
        <v>31</v>
      </c>
      <c r="F263" s="229" t="str">
        <f>IFERROR(_xlfn.XLOOKUP($A263,'Raw Data'!$A:$A,'Raw Data'!$BR:$BR),"")</f>
        <v/>
      </c>
      <c r="G263" s="230" t="str">
        <f>IFERROR(_xlfn.XLOOKUP($A263,'Raw Data'!$A:$A,'Raw Data'!$AO:$AO),"")</f>
        <v/>
      </c>
      <c r="H263" s="230"/>
      <c r="I263" s="230" t="str">
        <f>IFERROR(_xlfn.XLOOKUP($A263,'Raw Data'!$A:$A,'Raw Data'!$AR:$AR),"")</f>
        <v/>
      </c>
      <c r="J263" s="230"/>
      <c r="K263" s="230" t="str">
        <f>IFERROR(_xlfn.XLOOKUP($A263,'Raw Data'!$A:$A,'Raw Data'!$AV:$AV),"")</f>
        <v/>
      </c>
      <c r="L263" s="230" t="str">
        <f>IFERROR(_xlfn.XLOOKUP($A263,'Raw Data'!$A:$A,'Raw Data'!$AW:$AW),"")</f>
        <v/>
      </c>
      <c r="M263" s="230" t="str">
        <f>IFERROR(_xlfn.XLOOKUP($A263,'Raw Data'!$A:$A,'Raw Data'!$AX:$AX),"")</f>
        <v/>
      </c>
      <c r="N263" s="230" t="str">
        <f>IFERROR(_xlfn.XLOOKUP($A263,'Raw Data'!$A:$A,'Raw Data'!$AY:$AY),"")</f>
        <v/>
      </c>
      <c r="O263" s="231" t="str">
        <f>IFERROR(1-(SUMIF('Plant BD'!$B:$B,A263,'Plant BD'!$AE:$AE)/(AA263+SUMIF('Plant BD'!$B:$B,A263,'Plant BD'!$AE:$AE))),"")</f>
        <v/>
      </c>
      <c r="P263" s="231"/>
      <c r="Q263" s="232"/>
      <c r="R263" s="231" t="str">
        <f>IFERROR(1-(SUMIF('Grid BD'!$B:$B,$A263,'Grid BD'!$AD:$AD)/($AA263+SUMIF('Grid BD'!$B:$B,$A263,'Grid BD'!AD:AD))),"")</f>
        <v/>
      </c>
      <c r="S263" s="6"/>
      <c r="T263" s="232"/>
      <c r="U263" s="233" t="str">
        <f t="shared" si="17"/>
        <v/>
      </c>
      <c r="V263" s="233"/>
      <c r="W263" s="234" t="str">
        <f t="shared" si="19"/>
        <v/>
      </c>
      <c r="X263" s="227" t="str">
        <f>IFERROR(_xlfn.XLOOKUP($A263,'Raw Data'!$A:$A,'Raw Data'!$BA:$BA),"")</f>
        <v/>
      </c>
      <c r="Y263" s="227" t="str">
        <f>IFERROR(_xlfn.XLOOKUP($A263,'Raw Data'!$A:$A,'Raw Data'!BJ:BJ),"")</f>
        <v/>
      </c>
      <c r="Z263" s="227" t="str">
        <f>IFERROR(_xlfn.XLOOKUP($A263,'Raw Data'!$A:$A,'Raw Data'!BK:BK),"")</f>
        <v/>
      </c>
      <c r="AA263" s="227" t="str">
        <f>IFERROR(_xlfn.XLOOKUP($A263,'Raw Data'!$A:$A,'Raw Data'!BL:BL),"")</f>
        <v/>
      </c>
      <c r="AB263" s="227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27">
        <f>IFERROR(_xlfn.XLOOKUP($D263,'Modelling New'!$D:$D,'Modelling New'!$T:$T)*1000,"")</f>
        <v>111806.4041783969</v>
      </c>
      <c r="AE263" s="234">
        <f>IFERROR(_xlfn.XLOOKUP($D263,'Modelling New'!$D:$D,'Modelling New'!$O:$O),"")</f>
        <v>0.709882979577386</v>
      </c>
      <c r="AF263" s="234">
        <f>IFERROR(_xlfn.XLOOKUP($D263,'Modelling New'!$D:$D,'Modelling New'!$W:$W),"")</f>
        <v>0.19168748736168928</v>
      </c>
      <c r="AG263" s="234">
        <f>IFERROR(_xlfn.XLOOKUP($D263,'Modelling New'!$D:$D,'Modelling New'!AE:AE),"")</f>
        <v>0.995</v>
      </c>
      <c r="AH263" s="234">
        <v>0.99750000000000005</v>
      </c>
      <c r="AI263" s="6"/>
      <c r="AJ263" s="6"/>
      <c r="AK263" s="6"/>
      <c r="AL263" s="6"/>
      <c r="AM263" s="6"/>
      <c r="AN263" s="231"/>
      <c r="AO263" s="234"/>
      <c r="AP263" s="234"/>
      <c r="AQ263" s="234"/>
      <c r="AR263" s="227">
        <f>IFERROR(_xlfn.XLOOKUP($D263,'Modelling New'!$D:$D,'Modelling New'!$N:$N),"")</f>
        <v>24.303100000000001</v>
      </c>
      <c r="AS263" s="227"/>
    </row>
    <row r="264" spans="1:45" x14ac:dyDescent="0.35">
      <c r="A264" s="226">
        <f t="shared" si="18"/>
        <v>46007</v>
      </c>
      <c r="B264" s="227">
        <f>YEAR(Daily_KPI[[#This Row],[Date]])+IF(MONTH(Daily_KPI[[#This Row],[Date]])&gt;=4,1,0)</f>
        <v>2026</v>
      </c>
      <c r="C264" s="6">
        <f>YEAR(Daily_KPI[[#This Row],[Date]])</f>
        <v>2025</v>
      </c>
      <c r="D264" s="228">
        <f>Daily_KPI[[#This Row],[Date]]-DAY(Daily_KPI[[#This Row],[Date]])+1</f>
        <v>45992</v>
      </c>
      <c r="E264" s="6">
        <f t="shared" si="20"/>
        <v>31</v>
      </c>
      <c r="F264" s="229" t="str">
        <f>IFERROR(_xlfn.XLOOKUP($A264,'Raw Data'!$A:$A,'Raw Data'!$BR:$BR),"")</f>
        <v/>
      </c>
      <c r="G264" s="230" t="str">
        <f>IFERROR(_xlfn.XLOOKUP($A264,'Raw Data'!$A:$A,'Raw Data'!$AO:$AO),"")</f>
        <v/>
      </c>
      <c r="H264" s="230"/>
      <c r="I264" s="230" t="str">
        <f>IFERROR(_xlfn.XLOOKUP($A264,'Raw Data'!$A:$A,'Raw Data'!$AR:$AR),"")</f>
        <v/>
      </c>
      <c r="J264" s="230"/>
      <c r="K264" s="230" t="str">
        <f>IFERROR(_xlfn.XLOOKUP($A264,'Raw Data'!$A:$A,'Raw Data'!$AV:$AV),"")</f>
        <v/>
      </c>
      <c r="L264" s="230" t="str">
        <f>IFERROR(_xlfn.XLOOKUP($A264,'Raw Data'!$A:$A,'Raw Data'!$AW:$AW),"")</f>
        <v/>
      </c>
      <c r="M264" s="230" t="str">
        <f>IFERROR(_xlfn.XLOOKUP($A264,'Raw Data'!$A:$A,'Raw Data'!$AX:$AX),"")</f>
        <v/>
      </c>
      <c r="N264" s="230" t="str">
        <f>IFERROR(_xlfn.XLOOKUP($A264,'Raw Data'!$A:$A,'Raw Data'!$AY:$AY),"")</f>
        <v/>
      </c>
      <c r="O264" s="231" t="str">
        <f>IFERROR(1-(SUMIF('Plant BD'!$B:$B,A264,'Plant BD'!$AE:$AE)/(AA264+SUMIF('Plant BD'!$B:$B,A264,'Plant BD'!$AE:$AE))),"")</f>
        <v/>
      </c>
      <c r="P264" s="231"/>
      <c r="Q264" s="232"/>
      <c r="R264" s="231" t="str">
        <f>IFERROR(1-(SUMIF('Grid BD'!$B:$B,$A264,'Grid BD'!$AD:$AD)/($AA264+SUMIF('Grid BD'!$B:$B,$A264,'Grid BD'!AD:AD))),"")</f>
        <v/>
      </c>
      <c r="S264" s="6"/>
      <c r="T264" s="232"/>
      <c r="U264" s="233" t="str">
        <f t="shared" si="17"/>
        <v/>
      </c>
      <c r="V264" s="233"/>
      <c r="W264" s="234" t="str">
        <f t="shared" si="19"/>
        <v/>
      </c>
      <c r="X264" s="227" t="str">
        <f>IFERROR(_xlfn.XLOOKUP($A264,'Raw Data'!$A:$A,'Raw Data'!$BA:$BA),"")</f>
        <v/>
      </c>
      <c r="Y264" s="227" t="str">
        <f>IFERROR(_xlfn.XLOOKUP($A264,'Raw Data'!$A:$A,'Raw Data'!BJ:BJ),"")</f>
        <v/>
      </c>
      <c r="Z264" s="227" t="str">
        <f>IFERROR(_xlfn.XLOOKUP($A264,'Raw Data'!$A:$A,'Raw Data'!BK:BK),"")</f>
        <v/>
      </c>
      <c r="AA264" s="227" t="str">
        <f>IFERROR(_xlfn.XLOOKUP($A264,'Raw Data'!$A:$A,'Raw Data'!BL:BL),"")</f>
        <v/>
      </c>
      <c r="AB264" s="227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27">
        <f>IFERROR(_xlfn.XLOOKUP($D264,'Modelling New'!$D:$D,'Modelling New'!$T:$T)*1000,"")</f>
        <v>111806.4041783969</v>
      </c>
      <c r="AE264" s="234">
        <f>IFERROR(_xlfn.XLOOKUP($D264,'Modelling New'!$D:$D,'Modelling New'!$O:$O),"")</f>
        <v>0.709882979577386</v>
      </c>
      <c r="AF264" s="234">
        <f>IFERROR(_xlfn.XLOOKUP($D264,'Modelling New'!$D:$D,'Modelling New'!$W:$W),"")</f>
        <v>0.19168748736168928</v>
      </c>
      <c r="AG264" s="234">
        <f>IFERROR(_xlfn.XLOOKUP($D264,'Modelling New'!$D:$D,'Modelling New'!AE:AE),"")</f>
        <v>0.995</v>
      </c>
      <c r="AH264" s="234">
        <v>0.99750000000000005</v>
      </c>
      <c r="AI264" s="6"/>
      <c r="AJ264" s="6"/>
      <c r="AK264" s="6"/>
      <c r="AL264" s="6"/>
      <c r="AM264" s="6"/>
      <c r="AN264" s="231"/>
      <c r="AO264" s="234"/>
      <c r="AP264" s="234"/>
      <c r="AQ264" s="234"/>
      <c r="AR264" s="227">
        <f>IFERROR(_xlfn.XLOOKUP($D264,'Modelling New'!$D:$D,'Modelling New'!$N:$N),"")</f>
        <v>24.303100000000001</v>
      </c>
      <c r="AS264" s="227"/>
    </row>
    <row r="265" spans="1:45" x14ac:dyDescent="0.35">
      <c r="A265" s="226">
        <f t="shared" si="18"/>
        <v>46008</v>
      </c>
      <c r="B265" s="227">
        <f>YEAR(Daily_KPI[[#This Row],[Date]])+IF(MONTH(Daily_KPI[[#This Row],[Date]])&gt;=4,1,0)</f>
        <v>2026</v>
      </c>
      <c r="C265" s="6">
        <f>YEAR(Daily_KPI[[#This Row],[Date]])</f>
        <v>2025</v>
      </c>
      <c r="D265" s="228">
        <f>Daily_KPI[[#This Row],[Date]]-DAY(Daily_KPI[[#This Row],[Date]])+1</f>
        <v>45992</v>
      </c>
      <c r="E265" s="6">
        <f t="shared" si="20"/>
        <v>31</v>
      </c>
      <c r="F265" s="229" t="str">
        <f>IFERROR(_xlfn.XLOOKUP($A265,'Raw Data'!$A:$A,'Raw Data'!$BR:$BR),"")</f>
        <v/>
      </c>
      <c r="G265" s="230" t="str">
        <f>IFERROR(_xlfn.XLOOKUP($A265,'Raw Data'!$A:$A,'Raw Data'!$AO:$AO),"")</f>
        <v/>
      </c>
      <c r="H265" s="230"/>
      <c r="I265" s="230" t="str">
        <f>IFERROR(_xlfn.XLOOKUP($A265,'Raw Data'!$A:$A,'Raw Data'!$AR:$AR),"")</f>
        <v/>
      </c>
      <c r="J265" s="230"/>
      <c r="K265" s="230" t="str">
        <f>IFERROR(_xlfn.XLOOKUP($A265,'Raw Data'!$A:$A,'Raw Data'!$AV:$AV),"")</f>
        <v/>
      </c>
      <c r="L265" s="230" t="str">
        <f>IFERROR(_xlfn.XLOOKUP($A265,'Raw Data'!$A:$A,'Raw Data'!$AW:$AW),"")</f>
        <v/>
      </c>
      <c r="M265" s="230" t="str">
        <f>IFERROR(_xlfn.XLOOKUP($A265,'Raw Data'!$A:$A,'Raw Data'!$AX:$AX),"")</f>
        <v/>
      </c>
      <c r="N265" s="230" t="str">
        <f>IFERROR(_xlfn.XLOOKUP($A265,'Raw Data'!$A:$A,'Raw Data'!$AY:$AY),"")</f>
        <v/>
      </c>
      <c r="O265" s="231" t="str">
        <f>IFERROR(1-(SUMIF('Plant BD'!$B:$B,A265,'Plant BD'!$AE:$AE)/(AA265+SUMIF('Plant BD'!$B:$B,A265,'Plant BD'!$AE:$AE))),"")</f>
        <v/>
      </c>
      <c r="P265" s="231"/>
      <c r="Q265" s="232"/>
      <c r="R265" s="231" t="str">
        <f>IFERROR(1-(SUMIF('Grid BD'!$B:$B,$A265,'Grid BD'!$AD:$AD)/($AA265+SUMIF('Grid BD'!$B:$B,$A265,'Grid BD'!AD:AD))),"")</f>
        <v/>
      </c>
      <c r="S265" s="6"/>
      <c r="T265" s="232"/>
      <c r="U265" s="233" t="str">
        <f t="shared" si="17"/>
        <v/>
      </c>
      <c r="V265" s="233"/>
      <c r="W265" s="234" t="str">
        <f t="shared" si="19"/>
        <v/>
      </c>
      <c r="X265" s="227" t="str">
        <f>IFERROR(_xlfn.XLOOKUP($A265,'Raw Data'!$A:$A,'Raw Data'!$BA:$BA),"")</f>
        <v/>
      </c>
      <c r="Y265" s="227" t="str">
        <f>IFERROR(_xlfn.XLOOKUP($A265,'Raw Data'!$A:$A,'Raw Data'!BJ:BJ),"")</f>
        <v/>
      </c>
      <c r="Z265" s="227" t="str">
        <f>IFERROR(_xlfn.XLOOKUP($A265,'Raw Data'!$A:$A,'Raw Data'!BK:BK),"")</f>
        <v/>
      </c>
      <c r="AA265" s="227" t="str">
        <f>IFERROR(_xlfn.XLOOKUP($A265,'Raw Data'!$A:$A,'Raw Data'!BL:BL),"")</f>
        <v/>
      </c>
      <c r="AB265" s="227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27">
        <f>IFERROR(_xlfn.XLOOKUP($D265,'Modelling New'!$D:$D,'Modelling New'!$T:$T)*1000,"")</f>
        <v>111806.4041783969</v>
      </c>
      <c r="AE265" s="234">
        <f>IFERROR(_xlfn.XLOOKUP($D265,'Modelling New'!$D:$D,'Modelling New'!$O:$O),"")</f>
        <v>0.709882979577386</v>
      </c>
      <c r="AF265" s="234">
        <f>IFERROR(_xlfn.XLOOKUP($D265,'Modelling New'!$D:$D,'Modelling New'!$W:$W),"")</f>
        <v>0.19168748736168928</v>
      </c>
      <c r="AG265" s="234">
        <f>IFERROR(_xlfn.XLOOKUP($D265,'Modelling New'!$D:$D,'Modelling New'!AE:AE),"")</f>
        <v>0.995</v>
      </c>
      <c r="AH265" s="234">
        <v>0.99750000000000005</v>
      </c>
      <c r="AI265" s="6"/>
      <c r="AJ265" s="6"/>
      <c r="AK265" s="6"/>
      <c r="AL265" s="6"/>
      <c r="AM265" s="6"/>
      <c r="AN265" s="231"/>
      <c r="AO265" s="234"/>
      <c r="AP265" s="234"/>
      <c r="AQ265" s="234"/>
      <c r="AR265" s="227">
        <f>IFERROR(_xlfn.XLOOKUP($D265,'Modelling New'!$D:$D,'Modelling New'!$N:$N),"")</f>
        <v>24.303100000000001</v>
      </c>
      <c r="AS265" s="227"/>
    </row>
    <row r="266" spans="1:45" x14ac:dyDescent="0.35">
      <c r="A266" s="226">
        <f t="shared" si="18"/>
        <v>46009</v>
      </c>
      <c r="B266" s="227">
        <f>YEAR(Daily_KPI[[#This Row],[Date]])+IF(MONTH(Daily_KPI[[#This Row],[Date]])&gt;=4,1,0)</f>
        <v>2026</v>
      </c>
      <c r="C266" s="6">
        <f>YEAR(Daily_KPI[[#This Row],[Date]])</f>
        <v>2025</v>
      </c>
      <c r="D266" s="228">
        <f>Daily_KPI[[#This Row],[Date]]-DAY(Daily_KPI[[#This Row],[Date]])+1</f>
        <v>45992</v>
      </c>
      <c r="E266" s="6">
        <f t="shared" si="20"/>
        <v>31</v>
      </c>
      <c r="F266" s="229" t="str">
        <f>IFERROR(_xlfn.XLOOKUP($A266,'Raw Data'!$A:$A,'Raw Data'!$BR:$BR),"")</f>
        <v/>
      </c>
      <c r="G266" s="230" t="str">
        <f>IFERROR(_xlfn.XLOOKUP($A266,'Raw Data'!$A:$A,'Raw Data'!$AO:$AO),"")</f>
        <v/>
      </c>
      <c r="H266" s="230"/>
      <c r="I266" s="230" t="str">
        <f>IFERROR(_xlfn.XLOOKUP($A266,'Raw Data'!$A:$A,'Raw Data'!$AR:$AR),"")</f>
        <v/>
      </c>
      <c r="J266" s="230"/>
      <c r="K266" s="230" t="str">
        <f>IFERROR(_xlfn.XLOOKUP($A266,'Raw Data'!$A:$A,'Raw Data'!$AV:$AV),"")</f>
        <v/>
      </c>
      <c r="L266" s="230" t="str">
        <f>IFERROR(_xlfn.XLOOKUP($A266,'Raw Data'!$A:$A,'Raw Data'!$AW:$AW),"")</f>
        <v/>
      </c>
      <c r="M266" s="230" t="str">
        <f>IFERROR(_xlfn.XLOOKUP($A266,'Raw Data'!$A:$A,'Raw Data'!$AX:$AX),"")</f>
        <v/>
      </c>
      <c r="N266" s="230" t="str">
        <f>IFERROR(_xlfn.XLOOKUP($A266,'Raw Data'!$A:$A,'Raw Data'!$AY:$AY),"")</f>
        <v/>
      </c>
      <c r="O266" s="231" t="str">
        <f>IFERROR(1-(SUMIF('Plant BD'!$B:$B,A266,'Plant BD'!$AE:$AE)/(AA266+SUMIF('Plant BD'!$B:$B,A266,'Plant BD'!$AE:$AE))),"")</f>
        <v/>
      </c>
      <c r="P266" s="231"/>
      <c r="Q266" s="232"/>
      <c r="R266" s="231" t="str">
        <f>IFERROR(1-(SUMIF('Grid BD'!$B:$B,$A266,'Grid BD'!$AD:$AD)/($AA266+SUMIF('Grid BD'!$B:$B,$A266,'Grid BD'!AD:AD))),"")</f>
        <v/>
      </c>
      <c r="S266" s="6"/>
      <c r="T266" s="232"/>
      <c r="U266" s="233" t="str">
        <f t="shared" si="17"/>
        <v/>
      </c>
      <c r="V266" s="233"/>
      <c r="W266" s="234" t="str">
        <f t="shared" si="19"/>
        <v/>
      </c>
      <c r="X266" s="227" t="str">
        <f>IFERROR(_xlfn.XLOOKUP($A266,'Raw Data'!$A:$A,'Raw Data'!$BA:$BA),"")</f>
        <v/>
      </c>
      <c r="Y266" s="227" t="str">
        <f>IFERROR(_xlfn.XLOOKUP($A266,'Raw Data'!$A:$A,'Raw Data'!BJ:BJ),"")</f>
        <v/>
      </c>
      <c r="Z266" s="227" t="str">
        <f>IFERROR(_xlfn.XLOOKUP($A266,'Raw Data'!$A:$A,'Raw Data'!BK:BK),"")</f>
        <v/>
      </c>
      <c r="AA266" s="227" t="str">
        <f>IFERROR(_xlfn.XLOOKUP($A266,'Raw Data'!$A:$A,'Raw Data'!BL:BL),"")</f>
        <v/>
      </c>
      <c r="AB266" s="227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27">
        <f>IFERROR(_xlfn.XLOOKUP($D266,'Modelling New'!$D:$D,'Modelling New'!$T:$T)*1000,"")</f>
        <v>111806.4041783969</v>
      </c>
      <c r="AE266" s="234">
        <f>IFERROR(_xlfn.XLOOKUP($D266,'Modelling New'!$D:$D,'Modelling New'!$O:$O),"")</f>
        <v>0.709882979577386</v>
      </c>
      <c r="AF266" s="234">
        <f>IFERROR(_xlfn.XLOOKUP($D266,'Modelling New'!$D:$D,'Modelling New'!$W:$W),"")</f>
        <v>0.19168748736168928</v>
      </c>
      <c r="AG266" s="234">
        <f>IFERROR(_xlfn.XLOOKUP($D266,'Modelling New'!$D:$D,'Modelling New'!AE:AE),"")</f>
        <v>0.995</v>
      </c>
      <c r="AH266" s="234">
        <v>0.99750000000000005</v>
      </c>
      <c r="AI266" s="6"/>
      <c r="AJ266" s="6"/>
      <c r="AK266" s="6"/>
      <c r="AL266" s="6"/>
      <c r="AM266" s="6"/>
      <c r="AN266" s="231"/>
      <c r="AO266" s="234"/>
      <c r="AP266" s="234"/>
      <c r="AQ266" s="234"/>
      <c r="AR266" s="227">
        <f>IFERROR(_xlfn.XLOOKUP($D266,'Modelling New'!$D:$D,'Modelling New'!$N:$N),"")</f>
        <v>24.303100000000001</v>
      </c>
      <c r="AS266" s="227"/>
    </row>
    <row r="267" spans="1:45" x14ac:dyDescent="0.35">
      <c r="A267" s="226">
        <f t="shared" si="18"/>
        <v>46010</v>
      </c>
      <c r="B267" s="227">
        <f>YEAR(Daily_KPI[[#This Row],[Date]])+IF(MONTH(Daily_KPI[[#This Row],[Date]])&gt;=4,1,0)</f>
        <v>2026</v>
      </c>
      <c r="C267" s="6">
        <f>YEAR(Daily_KPI[[#This Row],[Date]])</f>
        <v>2025</v>
      </c>
      <c r="D267" s="228">
        <f>Daily_KPI[[#This Row],[Date]]-DAY(Daily_KPI[[#This Row],[Date]])+1</f>
        <v>45992</v>
      </c>
      <c r="E267" s="6">
        <f t="shared" si="20"/>
        <v>31</v>
      </c>
      <c r="F267" s="229" t="str">
        <f>IFERROR(_xlfn.XLOOKUP($A267,'Raw Data'!$A:$A,'Raw Data'!$BR:$BR),"")</f>
        <v/>
      </c>
      <c r="G267" s="230" t="str">
        <f>IFERROR(_xlfn.XLOOKUP($A267,'Raw Data'!$A:$A,'Raw Data'!$AO:$AO),"")</f>
        <v/>
      </c>
      <c r="H267" s="230"/>
      <c r="I267" s="230" t="str">
        <f>IFERROR(_xlfn.XLOOKUP($A267,'Raw Data'!$A:$A,'Raw Data'!$AR:$AR),"")</f>
        <v/>
      </c>
      <c r="J267" s="230"/>
      <c r="K267" s="230" t="str">
        <f>IFERROR(_xlfn.XLOOKUP($A267,'Raw Data'!$A:$A,'Raw Data'!$AV:$AV),"")</f>
        <v/>
      </c>
      <c r="L267" s="230" t="str">
        <f>IFERROR(_xlfn.XLOOKUP($A267,'Raw Data'!$A:$A,'Raw Data'!$AW:$AW),"")</f>
        <v/>
      </c>
      <c r="M267" s="230" t="str">
        <f>IFERROR(_xlfn.XLOOKUP($A267,'Raw Data'!$A:$A,'Raw Data'!$AX:$AX),"")</f>
        <v/>
      </c>
      <c r="N267" s="230" t="str">
        <f>IFERROR(_xlfn.XLOOKUP($A267,'Raw Data'!$A:$A,'Raw Data'!$AY:$AY),"")</f>
        <v/>
      </c>
      <c r="O267" s="231" t="str">
        <f>IFERROR(1-(SUMIF('Plant BD'!$B:$B,A267,'Plant BD'!$AE:$AE)/(AA267+SUMIF('Plant BD'!$B:$B,A267,'Plant BD'!$AE:$AE))),"")</f>
        <v/>
      </c>
      <c r="P267" s="231"/>
      <c r="Q267" s="232"/>
      <c r="R267" s="231" t="str">
        <f>IFERROR(1-(SUMIF('Grid BD'!$B:$B,$A267,'Grid BD'!$AD:$AD)/($AA267+SUMIF('Grid BD'!$B:$B,$A267,'Grid BD'!AD:AD))),"")</f>
        <v/>
      </c>
      <c r="S267" s="6"/>
      <c r="T267" s="232"/>
      <c r="U267" s="233" t="str">
        <f t="shared" si="17"/>
        <v/>
      </c>
      <c r="V267" s="233"/>
      <c r="W267" s="234" t="str">
        <f t="shared" si="19"/>
        <v/>
      </c>
      <c r="X267" s="227" t="str">
        <f>IFERROR(_xlfn.XLOOKUP($A267,'Raw Data'!$A:$A,'Raw Data'!$BA:$BA),"")</f>
        <v/>
      </c>
      <c r="Y267" s="227" t="str">
        <f>IFERROR(_xlfn.XLOOKUP($A267,'Raw Data'!$A:$A,'Raw Data'!BJ:BJ),"")</f>
        <v/>
      </c>
      <c r="Z267" s="227" t="str">
        <f>IFERROR(_xlfn.XLOOKUP($A267,'Raw Data'!$A:$A,'Raw Data'!BK:BK),"")</f>
        <v/>
      </c>
      <c r="AA267" s="227" t="str">
        <f>IFERROR(_xlfn.XLOOKUP($A267,'Raw Data'!$A:$A,'Raw Data'!BL:BL),"")</f>
        <v/>
      </c>
      <c r="AB267" s="227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27">
        <f>IFERROR(_xlfn.XLOOKUP($D267,'Modelling New'!$D:$D,'Modelling New'!$T:$T)*1000,"")</f>
        <v>111806.4041783969</v>
      </c>
      <c r="AE267" s="234">
        <f>IFERROR(_xlfn.XLOOKUP($D267,'Modelling New'!$D:$D,'Modelling New'!$O:$O),"")</f>
        <v>0.709882979577386</v>
      </c>
      <c r="AF267" s="234">
        <f>IFERROR(_xlfn.XLOOKUP($D267,'Modelling New'!$D:$D,'Modelling New'!$W:$W),"")</f>
        <v>0.19168748736168928</v>
      </c>
      <c r="AG267" s="234">
        <f>IFERROR(_xlfn.XLOOKUP($D267,'Modelling New'!$D:$D,'Modelling New'!AE:AE),"")</f>
        <v>0.995</v>
      </c>
      <c r="AH267" s="234">
        <v>0.99750000000000005</v>
      </c>
      <c r="AI267" s="6"/>
      <c r="AJ267" s="6"/>
      <c r="AK267" s="6"/>
      <c r="AL267" s="6"/>
      <c r="AM267" s="6"/>
      <c r="AN267" s="231"/>
      <c r="AO267" s="234"/>
      <c r="AP267" s="234"/>
      <c r="AQ267" s="234"/>
      <c r="AR267" s="227">
        <f>IFERROR(_xlfn.XLOOKUP($D267,'Modelling New'!$D:$D,'Modelling New'!$N:$N),"")</f>
        <v>24.303100000000001</v>
      </c>
      <c r="AS267" s="227"/>
    </row>
    <row r="268" spans="1:45" x14ac:dyDescent="0.35">
      <c r="A268" s="226">
        <f t="shared" si="18"/>
        <v>46011</v>
      </c>
      <c r="B268" s="227">
        <f>YEAR(Daily_KPI[[#This Row],[Date]])+IF(MONTH(Daily_KPI[[#This Row],[Date]])&gt;=4,1,0)</f>
        <v>2026</v>
      </c>
      <c r="C268" s="6">
        <f>YEAR(Daily_KPI[[#This Row],[Date]])</f>
        <v>2025</v>
      </c>
      <c r="D268" s="228">
        <f>Daily_KPI[[#This Row],[Date]]-DAY(Daily_KPI[[#This Row],[Date]])+1</f>
        <v>45992</v>
      </c>
      <c r="E268" s="6">
        <f t="shared" si="20"/>
        <v>31</v>
      </c>
      <c r="F268" s="229" t="str">
        <f>IFERROR(_xlfn.XLOOKUP($A268,'Raw Data'!$A:$A,'Raw Data'!$BR:$BR),"")</f>
        <v/>
      </c>
      <c r="G268" s="230" t="str">
        <f>IFERROR(_xlfn.XLOOKUP($A268,'Raw Data'!$A:$A,'Raw Data'!$AO:$AO),"")</f>
        <v/>
      </c>
      <c r="H268" s="230"/>
      <c r="I268" s="230" t="str">
        <f>IFERROR(_xlfn.XLOOKUP($A268,'Raw Data'!$A:$A,'Raw Data'!$AR:$AR),"")</f>
        <v/>
      </c>
      <c r="J268" s="230"/>
      <c r="K268" s="230" t="str">
        <f>IFERROR(_xlfn.XLOOKUP($A268,'Raw Data'!$A:$A,'Raw Data'!$AV:$AV),"")</f>
        <v/>
      </c>
      <c r="L268" s="230" t="str">
        <f>IFERROR(_xlfn.XLOOKUP($A268,'Raw Data'!$A:$A,'Raw Data'!$AW:$AW),"")</f>
        <v/>
      </c>
      <c r="M268" s="230" t="str">
        <f>IFERROR(_xlfn.XLOOKUP($A268,'Raw Data'!$A:$A,'Raw Data'!$AX:$AX),"")</f>
        <v/>
      </c>
      <c r="N268" s="230" t="str">
        <f>IFERROR(_xlfn.XLOOKUP($A268,'Raw Data'!$A:$A,'Raw Data'!$AY:$AY),"")</f>
        <v/>
      </c>
      <c r="O268" s="231" t="str">
        <f>IFERROR(1-(SUMIF('Plant BD'!$B:$B,A268,'Plant BD'!$AE:$AE)/(AA268+SUMIF('Plant BD'!$B:$B,A268,'Plant BD'!$AE:$AE))),"")</f>
        <v/>
      </c>
      <c r="P268" s="231"/>
      <c r="Q268" s="232"/>
      <c r="R268" s="231" t="str">
        <f>IFERROR(1-(SUMIF('Grid BD'!$B:$B,$A268,'Grid BD'!$AD:$AD)/($AA268+SUMIF('Grid BD'!$B:$B,$A268,'Grid BD'!AD:AD))),"")</f>
        <v/>
      </c>
      <c r="S268" s="6"/>
      <c r="T268" s="232"/>
      <c r="U268" s="233" t="str">
        <f t="shared" si="17"/>
        <v/>
      </c>
      <c r="V268" s="233"/>
      <c r="W268" s="234" t="str">
        <f t="shared" si="19"/>
        <v/>
      </c>
      <c r="X268" s="227" t="str">
        <f>IFERROR(_xlfn.XLOOKUP($A268,'Raw Data'!$A:$A,'Raw Data'!$BA:$BA),"")</f>
        <v/>
      </c>
      <c r="Y268" s="227" t="str">
        <f>IFERROR(_xlfn.XLOOKUP($A268,'Raw Data'!$A:$A,'Raw Data'!BJ:BJ),"")</f>
        <v/>
      </c>
      <c r="Z268" s="227" t="str">
        <f>IFERROR(_xlfn.XLOOKUP($A268,'Raw Data'!$A:$A,'Raw Data'!BK:BK),"")</f>
        <v/>
      </c>
      <c r="AA268" s="227" t="str">
        <f>IFERROR(_xlfn.XLOOKUP($A268,'Raw Data'!$A:$A,'Raw Data'!BL:BL),"")</f>
        <v/>
      </c>
      <c r="AB268" s="227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27">
        <f>IFERROR(_xlfn.XLOOKUP($D268,'Modelling New'!$D:$D,'Modelling New'!$T:$T)*1000,"")</f>
        <v>111806.4041783969</v>
      </c>
      <c r="AE268" s="234">
        <f>IFERROR(_xlfn.XLOOKUP($D268,'Modelling New'!$D:$D,'Modelling New'!$O:$O),"")</f>
        <v>0.709882979577386</v>
      </c>
      <c r="AF268" s="234">
        <f>IFERROR(_xlfn.XLOOKUP($D268,'Modelling New'!$D:$D,'Modelling New'!$W:$W),"")</f>
        <v>0.19168748736168928</v>
      </c>
      <c r="AG268" s="234">
        <f>IFERROR(_xlfn.XLOOKUP($D268,'Modelling New'!$D:$D,'Modelling New'!AE:AE),"")</f>
        <v>0.995</v>
      </c>
      <c r="AH268" s="234">
        <v>0.99750000000000005</v>
      </c>
      <c r="AI268" s="6"/>
      <c r="AJ268" s="6"/>
      <c r="AK268" s="6"/>
      <c r="AL268" s="6"/>
      <c r="AM268" s="6"/>
      <c r="AN268" s="231"/>
      <c r="AO268" s="234"/>
      <c r="AP268" s="234"/>
      <c r="AQ268" s="234"/>
      <c r="AR268" s="227">
        <f>IFERROR(_xlfn.XLOOKUP($D268,'Modelling New'!$D:$D,'Modelling New'!$N:$N),"")</f>
        <v>24.303100000000001</v>
      </c>
      <c r="AS268" s="227"/>
    </row>
    <row r="269" spans="1:45" x14ac:dyDescent="0.35">
      <c r="A269" s="226">
        <f t="shared" si="18"/>
        <v>46012</v>
      </c>
      <c r="B269" s="227">
        <f>YEAR(Daily_KPI[[#This Row],[Date]])+IF(MONTH(Daily_KPI[[#This Row],[Date]])&gt;=4,1,0)</f>
        <v>2026</v>
      </c>
      <c r="C269" s="6">
        <f>YEAR(Daily_KPI[[#This Row],[Date]])</f>
        <v>2025</v>
      </c>
      <c r="D269" s="228">
        <f>Daily_KPI[[#This Row],[Date]]-DAY(Daily_KPI[[#This Row],[Date]])+1</f>
        <v>45992</v>
      </c>
      <c r="E269" s="6">
        <f t="shared" si="20"/>
        <v>31</v>
      </c>
      <c r="F269" s="229" t="str">
        <f>IFERROR(_xlfn.XLOOKUP($A269,'Raw Data'!$A:$A,'Raw Data'!$BR:$BR),"")</f>
        <v/>
      </c>
      <c r="G269" s="230" t="str">
        <f>IFERROR(_xlfn.XLOOKUP($A269,'Raw Data'!$A:$A,'Raw Data'!$AO:$AO),"")</f>
        <v/>
      </c>
      <c r="H269" s="230"/>
      <c r="I269" s="230" t="str">
        <f>IFERROR(_xlfn.XLOOKUP($A269,'Raw Data'!$A:$A,'Raw Data'!$AR:$AR),"")</f>
        <v/>
      </c>
      <c r="J269" s="230"/>
      <c r="K269" s="230" t="str">
        <f>IFERROR(_xlfn.XLOOKUP($A269,'Raw Data'!$A:$A,'Raw Data'!$AV:$AV),"")</f>
        <v/>
      </c>
      <c r="L269" s="230" t="str">
        <f>IFERROR(_xlfn.XLOOKUP($A269,'Raw Data'!$A:$A,'Raw Data'!$AW:$AW),"")</f>
        <v/>
      </c>
      <c r="M269" s="230" t="str">
        <f>IFERROR(_xlfn.XLOOKUP($A269,'Raw Data'!$A:$A,'Raw Data'!$AX:$AX),"")</f>
        <v/>
      </c>
      <c r="N269" s="230" t="str">
        <f>IFERROR(_xlfn.XLOOKUP($A269,'Raw Data'!$A:$A,'Raw Data'!$AY:$AY),"")</f>
        <v/>
      </c>
      <c r="O269" s="231" t="str">
        <f>IFERROR(1-(SUMIF('Plant BD'!$B:$B,A269,'Plant BD'!$AE:$AE)/(AA269+SUMIF('Plant BD'!$B:$B,A269,'Plant BD'!$AE:$AE))),"")</f>
        <v/>
      </c>
      <c r="P269" s="231"/>
      <c r="Q269" s="232"/>
      <c r="R269" s="231" t="str">
        <f>IFERROR(1-(SUMIF('Grid BD'!$B:$B,$A269,'Grid BD'!$AD:$AD)/($AA269+SUMIF('Grid BD'!$B:$B,$A269,'Grid BD'!AD:AD))),"")</f>
        <v/>
      </c>
      <c r="S269" s="6"/>
      <c r="T269" s="232"/>
      <c r="U269" s="233" t="str">
        <f t="shared" si="17"/>
        <v/>
      </c>
      <c r="V269" s="233"/>
      <c r="W269" s="234" t="str">
        <f t="shared" si="19"/>
        <v/>
      </c>
      <c r="X269" s="227" t="str">
        <f>IFERROR(_xlfn.XLOOKUP($A269,'Raw Data'!$A:$A,'Raw Data'!$BA:$BA),"")</f>
        <v/>
      </c>
      <c r="Y269" s="227" t="str">
        <f>IFERROR(_xlfn.XLOOKUP($A269,'Raw Data'!$A:$A,'Raw Data'!BJ:BJ),"")</f>
        <v/>
      </c>
      <c r="Z269" s="227" t="str">
        <f>IFERROR(_xlfn.XLOOKUP($A269,'Raw Data'!$A:$A,'Raw Data'!BK:BK),"")</f>
        <v/>
      </c>
      <c r="AA269" s="227" t="str">
        <f>IFERROR(_xlfn.XLOOKUP($A269,'Raw Data'!$A:$A,'Raw Data'!BL:BL),"")</f>
        <v/>
      </c>
      <c r="AB269" s="227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27">
        <f>IFERROR(_xlfn.XLOOKUP($D269,'Modelling New'!$D:$D,'Modelling New'!$T:$T)*1000,"")</f>
        <v>111806.4041783969</v>
      </c>
      <c r="AE269" s="234">
        <f>IFERROR(_xlfn.XLOOKUP($D269,'Modelling New'!$D:$D,'Modelling New'!$O:$O),"")</f>
        <v>0.709882979577386</v>
      </c>
      <c r="AF269" s="234">
        <f>IFERROR(_xlfn.XLOOKUP($D269,'Modelling New'!$D:$D,'Modelling New'!$W:$W),"")</f>
        <v>0.19168748736168928</v>
      </c>
      <c r="AG269" s="234">
        <f>IFERROR(_xlfn.XLOOKUP($D269,'Modelling New'!$D:$D,'Modelling New'!AE:AE),"")</f>
        <v>0.995</v>
      </c>
      <c r="AH269" s="234">
        <v>0.99750000000000005</v>
      </c>
      <c r="AI269" s="6"/>
      <c r="AJ269" s="6"/>
      <c r="AK269" s="6"/>
      <c r="AL269" s="6"/>
      <c r="AM269" s="6"/>
      <c r="AN269" s="231"/>
      <c r="AO269" s="234"/>
      <c r="AP269" s="234"/>
      <c r="AQ269" s="234"/>
      <c r="AR269" s="227">
        <f>IFERROR(_xlfn.XLOOKUP($D269,'Modelling New'!$D:$D,'Modelling New'!$N:$N),"")</f>
        <v>24.303100000000001</v>
      </c>
      <c r="AS269" s="227"/>
    </row>
    <row r="270" spans="1:45" x14ac:dyDescent="0.35">
      <c r="A270" s="226">
        <f t="shared" si="18"/>
        <v>46013</v>
      </c>
      <c r="B270" s="227">
        <f>YEAR(Daily_KPI[[#This Row],[Date]])+IF(MONTH(Daily_KPI[[#This Row],[Date]])&gt;=4,1,0)</f>
        <v>2026</v>
      </c>
      <c r="C270" s="6">
        <f>YEAR(Daily_KPI[[#This Row],[Date]])</f>
        <v>2025</v>
      </c>
      <c r="D270" s="228">
        <f>Daily_KPI[[#This Row],[Date]]-DAY(Daily_KPI[[#This Row],[Date]])+1</f>
        <v>45992</v>
      </c>
      <c r="E270" s="6">
        <f t="shared" si="20"/>
        <v>31</v>
      </c>
      <c r="F270" s="229" t="str">
        <f>IFERROR(_xlfn.XLOOKUP($A270,'Raw Data'!$A:$A,'Raw Data'!$BR:$BR),"")</f>
        <v/>
      </c>
      <c r="G270" s="230" t="str">
        <f>IFERROR(_xlfn.XLOOKUP($A270,'Raw Data'!$A:$A,'Raw Data'!$AO:$AO),"")</f>
        <v/>
      </c>
      <c r="H270" s="230"/>
      <c r="I270" s="230" t="str">
        <f>IFERROR(_xlfn.XLOOKUP($A270,'Raw Data'!$A:$A,'Raw Data'!$AR:$AR),"")</f>
        <v/>
      </c>
      <c r="J270" s="230"/>
      <c r="K270" s="230" t="str">
        <f>IFERROR(_xlfn.XLOOKUP($A270,'Raw Data'!$A:$A,'Raw Data'!$AV:$AV),"")</f>
        <v/>
      </c>
      <c r="L270" s="230" t="str">
        <f>IFERROR(_xlfn.XLOOKUP($A270,'Raw Data'!$A:$A,'Raw Data'!$AW:$AW),"")</f>
        <v/>
      </c>
      <c r="M270" s="230" t="str">
        <f>IFERROR(_xlfn.XLOOKUP($A270,'Raw Data'!$A:$A,'Raw Data'!$AX:$AX),"")</f>
        <v/>
      </c>
      <c r="N270" s="230" t="str">
        <f>IFERROR(_xlfn.XLOOKUP($A270,'Raw Data'!$A:$A,'Raw Data'!$AY:$AY),"")</f>
        <v/>
      </c>
      <c r="O270" s="231" t="str">
        <f>IFERROR(1-(SUMIF('Plant BD'!$B:$B,A270,'Plant BD'!$AE:$AE)/(AA270+SUMIF('Plant BD'!$B:$B,A270,'Plant BD'!$AE:$AE))),"")</f>
        <v/>
      </c>
      <c r="P270" s="231"/>
      <c r="Q270" s="232"/>
      <c r="R270" s="231" t="str">
        <f>IFERROR(1-(SUMIF('Grid BD'!$B:$B,$A270,'Grid BD'!$AD:$AD)/($AA270+SUMIF('Grid BD'!$B:$B,$A270,'Grid BD'!AD:AD))),"")</f>
        <v/>
      </c>
      <c r="S270" s="6"/>
      <c r="T270" s="232"/>
      <c r="U270" s="233" t="str">
        <f t="shared" si="17"/>
        <v/>
      </c>
      <c r="V270" s="233"/>
      <c r="W270" s="234" t="str">
        <f t="shared" si="19"/>
        <v/>
      </c>
      <c r="X270" s="227" t="str">
        <f>IFERROR(_xlfn.XLOOKUP($A270,'Raw Data'!$A:$A,'Raw Data'!$BA:$BA),"")</f>
        <v/>
      </c>
      <c r="Y270" s="227" t="str">
        <f>IFERROR(_xlfn.XLOOKUP($A270,'Raw Data'!$A:$A,'Raw Data'!BJ:BJ),"")</f>
        <v/>
      </c>
      <c r="Z270" s="227" t="str">
        <f>IFERROR(_xlfn.XLOOKUP($A270,'Raw Data'!$A:$A,'Raw Data'!BK:BK),"")</f>
        <v/>
      </c>
      <c r="AA270" s="227" t="str">
        <f>IFERROR(_xlfn.XLOOKUP($A270,'Raw Data'!$A:$A,'Raw Data'!BL:BL),"")</f>
        <v/>
      </c>
      <c r="AB270" s="227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27">
        <f>IFERROR(_xlfn.XLOOKUP($D270,'Modelling New'!$D:$D,'Modelling New'!$T:$T)*1000,"")</f>
        <v>111806.4041783969</v>
      </c>
      <c r="AE270" s="234">
        <f>IFERROR(_xlfn.XLOOKUP($D270,'Modelling New'!$D:$D,'Modelling New'!$O:$O),"")</f>
        <v>0.709882979577386</v>
      </c>
      <c r="AF270" s="234">
        <f>IFERROR(_xlfn.XLOOKUP($D270,'Modelling New'!$D:$D,'Modelling New'!$W:$W),"")</f>
        <v>0.19168748736168928</v>
      </c>
      <c r="AG270" s="234">
        <f>IFERROR(_xlfn.XLOOKUP($D270,'Modelling New'!$D:$D,'Modelling New'!AE:AE),"")</f>
        <v>0.995</v>
      </c>
      <c r="AH270" s="234">
        <v>0.99750000000000005</v>
      </c>
      <c r="AI270" s="6"/>
      <c r="AJ270" s="6"/>
      <c r="AK270" s="6"/>
      <c r="AL270" s="6"/>
      <c r="AM270" s="6"/>
      <c r="AN270" s="231"/>
      <c r="AO270" s="234"/>
      <c r="AP270" s="234"/>
      <c r="AQ270" s="234"/>
      <c r="AR270" s="227">
        <f>IFERROR(_xlfn.XLOOKUP($D270,'Modelling New'!$D:$D,'Modelling New'!$N:$N),"")</f>
        <v>24.303100000000001</v>
      </c>
      <c r="AS270" s="227"/>
    </row>
    <row r="271" spans="1:45" x14ac:dyDescent="0.35">
      <c r="A271" s="226">
        <f t="shared" si="18"/>
        <v>46014</v>
      </c>
      <c r="B271" s="227">
        <f>YEAR(Daily_KPI[[#This Row],[Date]])+IF(MONTH(Daily_KPI[[#This Row],[Date]])&gt;=4,1,0)</f>
        <v>2026</v>
      </c>
      <c r="C271" s="6">
        <f>YEAR(Daily_KPI[[#This Row],[Date]])</f>
        <v>2025</v>
      </c>
      <c r="D271" s="228">
        <f>Daily_KPI[[#This Row],[Date]]-DAY(Daily_KPI[[#This Row],[Date]])+1</f>
        <v>45992</v>
      </c>
      <c r="E271" s="6">
        <f t="shared" si="20"/>
        <v>31</v>
      </c>
      <c r="F271" s="229" t="str">
        <f>IFERROR(_xlfn.XLOOKUP($A271,'Raw Data'!$A:$A,'Raw Data'!$BR:$BR),"")</f>
        <v/>
      </c>
      <c r="G271" s="230" t="str">
        <f>IFERROR(_xlfn.XLOOKUP($A271,'Raw Data'!$A:$A,'Raw Data'!$AO:$AO),"")</f>
        <v/>
      </c>
      <c r="H271" s="230"/>
      <c r="I271" s="230" t="str">
        <f>IFERROR(_xlfn.XLOOKUP($A271,'Raw Data'!$A:$A,'Raw Data'!$AR:$AR),"")</f>
        <v/>
      </c>
      <c r="J271" s="230"/>
      <c r="K271" s="230" t="str">
        <f>IFERROR(_xlfn.XLOOKUP($A271,'Raw Data'!$A:$A,'Raw Data'!$AV:$AV),"")</f>
        <v/>
      </c>
      <c r="L271" s="230" t="str">
        <f>IFERROR(_xlfn.XLOOKUP($A271,'Raw Data'!$A:$A,'Raw Data'!$AW:$AW),"")</f>
        <v/>
      </c>
      <c r="M271" s="230" t="str">
        <f>IFERROR(_xlfn.XLOOKUP($A271,'Raw Data'!$A:$A,'Raw Data'!$AX:$AX),"")</f>
        <v/>
      </c>
      <c r="N271" s="230" t="str">
        <f>IFERROR(_xlfn.XLOOKUP($A271,'Raw Data'!$A:$A,'Raw Data'!$AY:$AY),"")</f>
        <v/>
      </c>
      <c r="O271" s="231" t="str">
        <f>IFERROR(1-(SUMIF('Plant BD'!$B:$B,A271,'Plant BD'!$AE:$AE)/(AA271+SUMIF('Plant BD'!$B:$B,A271,'Plant BD'!$AE:$AE))),"")</f>
        <v/>
      </c>
      <c r="P271" s="231"/>
      <c r="Q271" s="232"/>
      <c r="R271" s="231" t="str">
        <f>IFERROR(1-(SUMIF('Grid BD'!$B:$B,$A271,'Grid BD'!$AD:$AD)/($AA271+SUMIF('Grid BD'!$B:$B,$A271,'Grid BD'!AD:AD))),"")</f>
        <v/>
      </c>
      <c r="S271" s="6"/>
      <c r="T271" s="232"/>
      <c r="U271" s="233" t="str">
        <f t="shared" si="17"/>
        <v/>
      </c>
      <c r="V271" s="233"/>
      <c r="W271" s="234" t="str">
        <f t="shared" si="19"/>
        <v/>
      </c>
      <c r="X271" s="227" t="str">
        <f>IFERROR(_xlfn.XLOOKUP($A271,'Raw Data'!$A:$A,'Raw Data'!$BA:$BA),"")</f>
        <v/>
      </c>
      <c r="Y271" s="227" t="str">
        <f>IFERROR(_xlfn.XLOOKUP($A271,'Raw Data'!$A:$A,'Raw Data'!BJ:BJ),"")</f>
        <v/>
      </c>
      <c r="Z271" s="227" t="str">
        <f>IFERROR(_xlfn.XLOOKUP($A271,'Raw Data'!$A:$A,'Raw Data'!BK:BK),"")</f>
        <v/>
      </c>
      <c r="AA271" s="227" t="str">
        <f>IFERROR(_xlfn.XLOOKUP($A271,'Raw Data'!$A:$A,'Raw Data'!BL:BL),"")</f>
        <v/>
      </c>
      <c r="AB271" s="227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27">
        <f>IFERROR(_xlfn.XLOOKUP($D271,'Modelling New'!$D:$D,'Modelling New'!$T:$T)*1000,"")</f>
        <v>111806.4041783969</v>
      </c>
      <c r="AE271" s="234">
        <f>IFERROR(_xlfn.XLOOKUP($D271,'Modelling New'!$D:$D,'Modelling New'!$O:$O),"")</f>
        <v>0.709882979577386</v>
      </c>
      <c r="AF271" s="234">
        <f>IFERROR(_xlfn.XLOOKUP($D271,'Modelling New'!$D:$D,'Modelling New'!$W:$W),"")</f>
        <v>0.19168748736168928</v>
      </c>
      <c r="AG271" s="234">
        <f>IFERROR(_xlfn.XLOOKUP($D271,'Modelling New'!$D:$D,'Modelling New'!AE:AE),"")</f>
        <v>0.995</v>
      </c>
      <c r="AH271" s="234">
        <v>0.99750000000000005</v>
      </c>
      <c r="AI271" s="6"/>
      <c r="AJ271" s="6"/>
      <c r="AK271" s="6"/>
      <c r="AL271" s="6"/>
      <c r="AM271" s="6"/>
      <c r="AN271" s="231"/>
      <c r="AO271" s="234"/>
      <c r="AP271" s="234"/>
      <c r="AQ271" s="234"/>
      <c r="AR271" s="227">
        <f>IFERROR(_xlfn.XLOOKUP($D271,'Modelling New'!$D:$D,'Modelling New'!$N:$N),"")</f>
        <v>24.303100000000001</v>
      </c>
      <c r="AS271" s="227"/>
    </row>
    <row r="272" spans="1:45" x14ac:dyDescent="0.35">
      <c r="A272" s="226">
        <f t="shared" si="18"/>
        <v>46015</v>
      </c>
      <c r="B272" s="227">
        <f>YEAR(Daily_KPI[[#This Row],[Date]])+IF(MONTH(Daily_KPI[[#This Row],[Date]])&gt;=4,1,0)</f>
        <v>2026</v>
      </c>
      <c r="C272" s="6">
        <f>YEAR(Daily_KPI[[#This Row],[Date]])</f>
        <v>2025</v>
      </c>
      <c r="D272" s="228">
        <f>Daily_KPI[[#This Row],[Date]]-DAY(Daily_KPI[[#This Row],[Date]])+1</f>
        <v>45992</v>
      </c>
      <c r="E272" s="6">
        <f t="shared" si="20"/>
        <v>31</v>
      </c>
      <c r="F272" s="229" t="str">
        <f>IFERROR(_xlfn.XLOOKUP($A272,'Raw Data'!$A:$A,'Raw Data'!$BR:$BR),"")</f>
        <v/>
      </c>
      <c r="G272" s="230" t="str">
        <f>IFERROR(_xlfn.XLOOKUP($A272,'Raw Data'!$A:$A,'Raw Data'!$AO:$AO),"")</f>
        <v/>
      </c>
      <c r="H272" s="230"/>
      <c r="I272" s="230" t="str">
        <f>IFERROR(_xlfn.XLOOKUP($A272,'Raw Data'!$A:$A,'Raw Data'!$AR:$AR),"")</f>
        <v/>
      </c>
      <c r="J272" s="230"/>
      <c r="K272" s="230" t="str">
        <f>IFERROR(_xlfn.XLOOKUP($A272,'Raw Data'!$A:$A,'Raw Data'!$AV:$AV),"")</f>
        <v/>
      </c>
      <c r="L272" s="230" t="str">
        <f>IFERROR(_xlfn.XLOOKUP($A272,'Raw Data'!$A:$A,'Raw Data'!$AW:$AW),"")</f>
        <v/>
      </c>
      <c r="M272" s="230" t="str">
        <f>IFERROR(_xlfn.XLOOKUP($A272,'Raw Data'!$A:$A,'Raw Data'!$AX:$AX),"")</f>
        <v/>
      </c>
      <c r="N272" s="230" t="str">
        <f>IFERROR(_xlfn.XLOOKUP($A272,'Raw Data'!$A:$A,'Raw Data'!$AY:$AY),"")</f>
        <v/>
      </c>
      <c r="O272" s="231" t="str">
        <f>IFERROR(1-(SUMIF('Plant BD'!$B:$B,A272,'Plant BD'!$AE:$AE)/(AA272+SUMIF('Plant BD'!$B:$B,A272,'Plant BD'!$AE:$AE))),"")</f>
        <v/>
      </c>
      <c r="P272" s="231"/>
      <c r="Q272" s="232"/>
      <c r="R272" s="231" t="str">
        <f>IFERROR(1-(SUMIF('Grid BD'!$B:$B,$A272,'Grid BD'!$AD:$AD)/($AA272+SUMIF('Grid BD'!$B:$B,$A272,'Grid BD'!AD:AD))),"")</f>
        <v/>
      </c>
      <c r="S272" s="6"/>
      <c r="T272" s="232"/>
      <c r="U272" s="233" t="str">
        <f t="shared" si="17"/>
        <v/>
      </c>
      <c r="V272" s="233"/>
      <c r="W272" s="234" t="str">
        <f t="shared" si="19"/>
        <v/>
      </c>
      <c r="X272" s="227" t="str">
        <f>IFERROR(_xlfn.XLOOKUP($A272,'Raw Data'!$A:$A,'Raw Data'!$BA:$BA),"")</f>
        <v/>
      </c>
      <c r="Y272" s="227" t="str">
        <f>IFERROR(_xlfn.XLOOKUP($A272,'Raw Data'!$A:$A,'Raw Data'!BJ:BJ),"")</f>
        <v/>
      </c>
      <c r="Z272" s="227" t="str">
        <f>IFERROR(_xlfn.XLOOKUP($A272,'Raw Data'!$A:$A,'Raw Data'!BK:BK),"")</f>
        <v/>
      </c>
      <c r="AA272" s="227" t="str">
        <f>IFERROR(_xlfn.XLOOKUP($A272,'Raw Data'!$A:$A,'Raw Data'!BL:BL),"")</f>
        <v/>
      </c>
      <c r="AB272" s="227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27">
        <f>IFERROR(_xlfn.XLOOKUP($D272,'Modelling New'!$D:$D,'Modelling New'!$T:$T)*1000,"")</f>
        <v>111806.4041783969</v>
      </c>
      <c r="AE272" s="234">
        <f>IFERROR(_xlfn.XLOOKUP($D272,'Modelling New'!$D:$D,'Modelling New'!$O:$O),"")</f>
        <v>0.709882979577386</v>
      </c>
      <c r="AF272" s="234">
        <f>IFERROR(_xlfn.XLOOKUP($D272,'Modelling New'!$D:$D,'Modelling New'!$W:$W),"")</f>
        <v>0.19168748736168928</v>
      </c>
      <c r="AG272" s="234">
        <f>IFERROR(_xlfn.XLOOKUP($D272,'Modelling New'!$D:$D,'Modelling New'!AE:AE),"")</f>
        <v>0.995</v>
      </c>
      <c r="AH272" s="234">
        <v>0.99750000000000005</v>
      </c>
      <c r="AI272" s="6"/>
      <c r="AJ272" s="6"/>
      <c r="AK272" s="6"/>
      <c r="AL272" s="6"/>
      <c r="AM272" s="6"/>
      <c r="AN272" s="231"/>
      <c r="AO272" s="234"/>
      <c r="AP272" s="234"/>
      <c r="AQ272" s="234"/>
      <c r="AR272" s="227">
        <f>IFERROR(_xlfn.XLOOKUP($D272,'Modelling New'!$D:$D,'Modelling New'!$N:$N),"")</f>
        <v>24.303100000000001</v>
      </c>
      <c r="AS272" s="227"/>
    </row>
    <row r="273" spans="1:45" x14ac:dyDescent="0.35">
      <c r="A273" s="226">
        <f t="shared" si="18"/>
        <v>46016</v>
      </c>
      <c r="B273" s="227">
        <f>YEAR(Daily_KPI[[#This Row],[Date]])+IF(MONTH(Daily_KPI[[#This Row],[Date]])&gt;=4,1,0)</f>
        <v>2026</v>
      </c>
      <c r="C273" s="6">
        <f>YEAR(Daily_KPI[[#This Row],[Date]])</f>
        <v>2025</v>
      </c>
      <c r="D273" s="228">
        <f>Daily_KPI[[#This Row],[Date]]-DAY(Daily_KPI[[#This Row],[Date]])+1</f>
        <v>45992</v>
      </c>
      <c r="E273" s="6">
        <f t="shared" si="20"/>
        <v>31</v>
      </c>
      <c r="F273" s="229" t="str">
        <f>IFERROR(_xlfn.XLOOKUP($A273,'Raw Data'!$A:$A,'Raw Data'!$BR:$BR),"")</f>
        <v/>
      </c>
      <c r="G273" s="230" t="str">
        <f>IFERROR(_xlfn.XLOOKUP($A273,'Raw Data'!$A:$A,'Raw Data'!$AO:$AO),"")</f>
        <v/>
      </c>
      <c r="H273" s="230"/>
      <c r="I273" s="230" t="str">
        <f>IFERROR(_xlfn.XLOOKUP($A273,'Raw Data'!$A:$A,'Raw Data'!$AR:$AR),"")</f>
        <v/>
      </c>
      <c r="J273" s="230"/>
      <c r="K273" s="230" t="str">
        <f>IFERROR(_xlfn.XLOOKUP($A273,'Raw Data'!$A:$A,'Raw Data'!$AV:$AV),"")</f>
        <v/>
      </c>
      <c r="L273" s="230" t="str">
        <f>IFERROR(_xlfn.XLOOKUP($A273,'Raw Data'!$A:$A,'Raw Data'!$AW:$AW),"")</f>
        <v/>
      </c>
      <c r="M273" s="230" t="str">
        <f>IFERROR(_xlfn.XLOOKUP($A273,'Raw Data'!$A:$A,'Raw Data'!$AX:$AX),"")</f>
        <v/>
      </c>
      <c r="N273" s="230" t="str">
        <f>IFERROR(_xlfn.XLOOKUP($A273,'Raw Data'!$A:$A,'Raw Data'!$AY:$AY),"")</f>
        <v/>
      </c>
      <c r="O273" s="231" t="str">
        <f>IFERROR(1-(SUMIF('Plant BD'!$B:$B,A273,'Plant BD'!$AE:$AE)/(AA273+SUMIF('Plant BD'!$B:$B,A273,'Plant BD'!$AE:$AE))),"")</f>
        <v/>
      </c>
      <c r="P273" s="231"/>
      <c r="Q273" s="232"/>
      <c r="R273" s="231" t="str">
        <f>IFERROR(1-(SUMIF('Grid BD'!$B:$B,$A273,'Grid BD'!$AD:$AD)/($AA273+SUMIF('Grid BD'!$B:$B,$A273,'Grid BD'!AD:AD))),"")</f>
        <v/>
      </c>
      <c r="S273" s="6"/>
      <c r="T273" s="232"/>
      <c r="U273" s="233" t="str">
        <f t="shared" si="17"/>
        <v/>
      </c>
      <c r="V273" s="233"/>
      <c r="W273" s="234" t="str">
        <f t="shared" si="19"/>
        <v/>
      </c>
      <c r="X273" s="227" t="str">
        <f>IFERROR(_xlfn.XLOOKUP($A273,'Raw Data'!$A:$A,'Raw Data'!$BA:$BA),"")</f>
        <v/>
      </c>
      <c r="Y273" s="227" t="str">
        <f>IFERROR(_xlfn.XLOOKUP($A273,'Raw Data'!$A:$A,'Raw Data'!BJ:BJ),"")</f>
        <v/>
      </c>
      <c r="Z273" s="227" t="str">
        <f>IFERROR(_xlfn.XLOOKUP($A273,'Raw Data'!$A:$A,'Raw Data'!BK:BK),"")</f>
        <v/>
      </c>
      <c r="AA273" s="227" t="str">
        <f>IFERROR(_xlfn.XLOOKUP($A273,'Raw Data'!$A:$A,'Raw Data'!BL:BL),"")</f>
        <v/>
      </c>
      <c r="AB273" s="227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27">
        <f>IFERROR(_xlfn.XLOOKUP($D273,'Modelling New'!$D:$D,'Modelling New'!$T:$T)*1000,"")</f>
        <v>111806.4041783969</v>
      </c>
      <c r="AE273" s="234">
        <f>IFERROR(_xlfn.XLOOKUP($D273,'Modelling New'!$D:$D,'Modelling New'!$O:$O),"")</f>
        <v>0.709882979577386</v>
      </c>
      <c r="AF273" s="234">
        <f>IFERROR(_xlfn.XLOOKUP($D273,'Modelling New'!$D:$D,'Modelling New'!$W:$W),"")</f>
        <v>0.19168748736168928</v>
      </c>
      <c r="AG273" s="234">
        <f>IFERROR(_xlfn.XLOOKUP($D273,'Modelling New'!$D:$D,'Modelling New'!AE:AE),"")</f>
        <v>0.995</v>
      </c>
      <c r="AH273" s="234">
        <v>0.99750000000000005</v>
      </c>
      <c r="AI273" s="6"/>
      <c r="AJ273" s="6"/>
      <c r="AK273" s="6"/>
      <c r="AL273" s="6"/>
      <c r="AM273" s="6"/>
      <c r="AN273" s="231"/>
      <c r="AO273" s="234"/>
      <c r="AP273" s="234"/>
      <c r="AQ273" s="234"/>
      <c r="AR273" s="227">
        <f>IFERROR(_xlfn.XLOOKUP($D273,'Modelling New'!$D:$D,'Modelling New'!$N:$N),"")</f>
        <v>24.303100000000001</v>
      </c>
      <c r="AS273" s="227"/>
    </row>
    <row r="274" spans="1:45" x14ac:dyDescent="0.35">
      <c r="A274" s="226">
        <f t="shared" si="18"/>
        <v>46017</v>
      </c>
      <c r="B274" s="227">
        <f>YEAR(Daily_KPI[[#This Row],[Date]])+IF(MONTH(Daily_KPI[[#This Row],[Date]])&gt;=4,1,0)</f>
        <v>2026</v>
      </c>
      <c r="C274" s="6">
        <f>YEAR(Daily_KPI[[#This Row],[Date]])</f>
        <v>2025</v>
      </c>
      <c r="D274" s="228">
        <f>Daily_KPI[[#This Row],[Date]]-DAY(Daily_KPI[[#This Row],[Date]])+1</f>
        <v>45992</v>
      </c>
      <c r="E274" s="6">
        <f t="shared" si="20"/>
        <v>31</v>
      </c>
      <c r="F274" s="229" t="str">
        <f>IFERROR(_xlfn.XLOOKUP($A274,'Raw Data'!$A:$A,'Raw Data'!$BR:$BR),"")</f>
        <v/>
      </c>
      <c r="G274" s="230" t="str">
        <f>IFERROR(_xlfn.XLOOKUP($A274,'Raw Data'!$A:$A,'Raw Data'!$AO:$AO),"")</f>
        <v/>
      </c>
      <c r="H274" s="230"/>
      <c r="I274" s="230" t="str">
        <f>IFERROR(_xlfn.XLOOKUP($A274,'Raw Data'!$A:$A,'Raw Data'!$AR:$AR),"")</f>
        <v/>
      </c>
      <c r="J274" s="230"/>
      <c r="K274" s="230" t="str">
        <f>IFERROR(_xlfn.XLOOKUP($A274,'Raw Data'!$A:$A,'Raw Data'!$AV:$AV),"")</f>
        <v/>
      </c>
      <c r="L274" s="230" t="str">
        <f>IFERROR(_xlfn.XLOOKUP($A274,'Raw Data'!$A:$A,'Raw Data'!$AW:$AW),"")</f>
        <v/>
      </c>
      <c r="M274" s="230" t="str">
        <f>IFERROR(_xlfn.XLOOKUP($A274,'Raw Data'!$A:$A,'Raw Data'!$AX:$AX),"")</f>
        <v/>
      </c>
      <c r="N274" s="230" t="str">
        <f>IFERROR(_xlfn.XLOOKUP($A274,'Raw Data'!$A:$A,'Raw Data'!$AY:$AY),"")</f>
        <v/>
      </c>
      <c r="O274" s="231" t="str">
        <f>IFERROR(1-(SUMIF('Plant BD'!$B:$B,A274,'Plant BD'!$AE:$AE)/(AA274+SUMIF('Plant BD'!$B:$B,A274,'Plant BD'!$AE:$AE))),"")</f>
        <v/>
      </c>
      <c r="P274" s="231"/>
      <c r="Q274" s="232"/>
      <c r="R274" s="231" t="str">
        <f>IFERROR(1-(SUMIF('Grid BD'!$B:$B,$A274,'Grid BD'!$AD:$AD)/($AA274+SUMIF('Grid BD'!$B:$B,$A274,'Grid BD'!AD:AD))),"")</f>
        <v/>
      </c>
      <c r="S274" s="6"/>
      <c r="T274" s="232"/>
      <c r="U274" s="233" t="str">
        <f t="shared" ref="U274:U337" si="21">IFERROR(AA274/I274/AB274/1000,"")</f>
        <v/>
      </c>
      <c r="V274" s="233"/>
      <c r="W274" s="234" t="str">
        <f t="shared" si="19"/>
        <v/>
      </c>
      <c r="X274" s="227" t="str">
        <f>IFERROR(_xlfn.XLOOKUP($A274,'Raw Data'!$A:$A,'Raw Data'!$BA:$BA),"")</f>
        <v/>
      </c>
      <c r="Y274" s="227" t="str">
        <f>IFERROR(_xlfn.XLOOKUP($A274,'Raw Data'!$A:$A,'Raw Data'!BJ:BJ),"")</f>
        <v/>
      </c>
      <c r="Z274" s="227" t="str">
        <f>IFERROR(_xlfn.XLOOKUP($A274,'Raw Data'!$A:$A,'Raw Data'!BK:BK),"")</f>
        <v/>
      </c>
      <c r="AA274" s="227" t="str">
        <f>IFERROR(_xlfn.XLOOKUP($A274,'Raw Data'!$A:$A,'Raw Data'!BL:BL),"")</f>
        <v/>
      </c>
      <c r="AB274" s="227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27">
        <f>IFERROR(_xlfn.XLOOKUP($D274,'Modelling New'!$D:$D,'Modelling New'!$T:$T)*1000,"")</f>
        <v>111806.4041783969</v>
      </c>
      <c r="AE274" s="234">
        <f>IFERROR(_xlfn.XLOOKUP($D274,'Modelling New'!$D:$D,'Modelling New'!$O:$O),"")</f>
        <v>0.709882979577386</v>
      </c>
      <c r="AF274" s="234">
        <f>IFERROR(_xlfn.XLOOKUP($D274,'Modelling New'!$D:$D,'Modelling New'!$W:$W),"")</f>
        <v>0.19168748736168928</v>
      </c>
      <c r="AG274" s="234">
        <f>IFERROR(_xlfn.XLOOKUP($D274,'Modelling New'!$D:$D,'Modelling New'!AE:AE),"")</f>
        <v>0.995</v>
      </c>
      <c r="AH274" s="234">
        <v>0.99750000000000005</v>
      </c>
      <c r="AI274" s="6"/>
      <c r="AJ274" s="6"/>
      <c r="AK274" s="6"/>
      <c r="AL274" s="6"/>
      <c r="AM274" s="6"/>
      <c r="AN274" s="231"/>
      <c r="AO274" s="234"/>
      <c r="AP274" s="234"/>
      <c r="AQ274" s="234"/>
      <c r="AR274" s="227">
        <f>IFERROR(_xlfn.XLOOKUP($D274,'Modelling New'!$D:$D,'Modelling New'!$N:$N),"")</f>
        <v>24.303100000000001</v>
      </c>
      <c r="AS274" s="227"/>
    </row>
    <row r="275" spans="1:45" x14ac:dyDescent="0.35">
      <c r="A275" s="226">
        <f t="shared" si="18"/>
        <v>46018</v>
      </c>
      <c r="B275" s="227">
        <f>YEAR(Daily_KPI[[#This Row],[Date]])+IF(MONTH(Daily_KPI[[#This Row],[Date]])&gt;=4,1,0)</f>
        <v>2026</v>
      </c>
      <c r="C275" s="6">
        <f>YEAR(Daily_KPI[[#This Row],[Date]])</f>
        <v>2025</v>
      </c>
      <c r="D275" s="228">
        <f>Daily_KPI[[#This Row],[Date]]-DAY(Daily_KPI[[#This Row],[Date]])+1</f>
        <v>45992</v>
      </c>
      <c r="E275" s="6">
        <f t="shared" si="20"/>
        <v>31</v>
      </c>
      <c r="F275" s="229" t="str">
        <f>IFERROR(_xlfn.XLOOKUP($A275,'Raw Data'!$A:$A,'Raw Data'!$BR:$BR),"")</f>
        <v/>
      </c>
      <c r="G275" s="230" t="str">
        <f>IFERROR(_xlfn.XLOOKUP($A275,'Raw Data'!$A:$A,'Raw Data'!$AO:$AO),"")</f>
        <v/>
      </c>
      <c r="H275" s="230"/>
      <c r="I275" s="230" t="str">
        <f>IFERROR(_xlfn.XLOOKUP($A275,'Raw Data'!$A:$A,'Raw Data'!$AR:$AR),"")</f>
        <v/>
      </c>
      <c r="J275" s="230"/>
      <c r="K275" s="230" t="str">
        <f>IFERROR(_xlfn.XLOOKUP($A275,'Raw Data'!$A:$A,'Raw Data'!$AV:$AV),"")</f>
        <v/>
      </c>
      <c r="L275" s="230" t="str">
        <f>IFERROR(_xlfn.XLOOKUP($A275,'Raw Data'!$A:$A,'Raw Data'!$AW:$AW),"")</f>
        <v/>
      </c>
      <c r="M275" s="230" t="str">
        <f>IFERROR(_xlfn.XLOOKUP($A275,'Raw Data'!$A:$A,'Raw Data'!$AX:$AX),"")</f>
        <v/>
      </c>
      <c r="N275" s="230" t="str">
        <f>IFERROR(_xlfn.XLOOKUP($A275,'Raw Data'!$A:$A,'Raw Data'!$AY:$AY),"")</f>
        <v/>
      </c>
      <c r="O275" s="231" t="str">
        <f>IFERROR(1-(SUMIF('Plant BD'!$B:$B,A275,'Plant BD'!$AE:$AE)/(AA275+SUMIF('Plant BD'!$B:$B,A275,'Plant BD'!$AE:$AE))),"")</f>
        <v/>
      </c>
      <c r="P275" s="231"/>
      <c r="Q275" s="232"/>
      <c r="R275" s="231" t="str">
        <f>IFERROR(1-(SUMIF('Grid BD'!$B:$B,$A275,'Grid BD'!$AD:$AD)/($AA275+SUMIF('Grid BD'!$B:$B,$A275,'Grid BD'!AD:AD))),"")</f>
        <v/>
      </c>
      <c r="S275" s="6"/>
      <c r="T275" s="232"/>
      <c r="U275" s="233" t="str">
        <f t="shared" si="21"/>
        <v/>
      </c>
      <c r="V275" s="233"/>
      <c r="W275" s="234" t="str">
        <f t="shared" si="19"/>
        <v/>
      </c>
      <c r="X275" s="227" t="str">
        <f>IFERROR(_xlfn.XLOOKUP($A275,'Raw Data'!$A:$A,'Raw Data'!$BA:$BA),"")</f>
        <v/>
      </c>
      <c r="Y275" s="227" t="str">
        <f>IFERROR(_xlfn.XLOOKUP($A275,'Raw Data'!$A:$A,'Raw Data'!BJ:BJ),"")</f>
        <v/>
      </c>
      <c r="Z275" s="227" t="str">
        <f>IFERROR(_xlfn.XLOOKUP($A275,'Raw Data'!$A:$A,'Raw Data'!BK:BK),"")</f>
        <v/>
      </c>
      <c r="AA275" s="227" t="str">
        <f>IFERROR(_xlfn.XLOOKUP($A275,'Raw Data'!$A:$A,'Raw Data'!BL:BL),"")</f>
        <v/>
      </c>
      <c r="AB275" s="227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27">
        <f>IFERROR(_xlfn.XLOOKUP($D275,'Modelling New'!$D:$D,'Modelling New'!$T:$T)*1000,"")</f>
        <v>111806.4041783969</v>
      </c>
      <c r="AE275" s="234">
        <f>IFERROR(_xlfn.XLOOKUP($D275,'Modelling New'!$D:$D,'Modelling New'!$O:$O),"")</f>
        <v>0.709882979577386</v>
      </c>
      <c r="AF275" s="234">
        <f>IFERROR(_xlfn.XLOOKUP($D275,'Modelling New'!$D:$D,'Modelling New'!$W:$W),"")</f>
        <v>0.19168748736168928</v>
      </c>
      <c r="AG275" s="234">
        <f>IFERROR(_xlfn.XLOOKUP($D275,'Modelling New'!$D:$D,'Modelling New'!AE:AE),"")</f>
        <v>0.995</v>
      </c>
      <c r="AH275" s="234">
        <v>0.99750000000000005</v>
      </c>
      <c r="AI275" s="6"/>
      <c r="AJ275" s="6"/>
      <c r="AK275" s="6"/>
      <c r="AL275" s="6"/>
      <c r="AM275" s="6"/>
      <c r="AN275" s="231"/>
      <c r="AO275" s="234"/>
      <c r="AP275" s="234"/>
      <c r="AQ275" s="234"/>
      <c r="AR275" s="227">
        <f>IFERROR(_xlfn.XLOOKUP($D275,'Modelling New'!$D:$D,'Modelling New'!$N:$N),"")</f>
        <v>24.303100000000001</v>
      </c>
      <c r="AS275" s="227"/>
    </row>
    <row r="276" spans="1:45" x14ac:dyDescent="0.35">
      <c r="A276" s="226">
        <f t="shared" ref="A276:A339" si="22">A275+1</f>
        <v>46019</v>
      </c>
      <c r="B276" s="227">
        <f>YEAR(Daily_KPI[[#This Row],[Date]])+IF(MONTH(Daily_KPI[[#This Row],[Date]])&gt;=4,1,0)</f>
        <v>2026</v>
      </c>
      <c r="C276" s="6">
        <f>YEAR(Daily_KPI[[#This Row],[Date]])</f>
        <v>2025</v>
      </c>
      <c r="D276" s="228">
        <f>Daily_KPI[[#This Row],[Date]]-DAY(Daily_KPI[[#This Row],[Date]])+1</f>
        <v>45992</v>
      </c>
      <c r="E276" s="6">
        <f t="shared" si="20"/>
        <v>31</v>
      </c>
      <c r="F276" s="229" t="str">
        <f>IFERROR(_xlfn.XLOOKUP($A276,'Raw Data'!$A:$A,'Raw Data'!$BR:$BR),"")</f>
        <v/>
      </c>
      <c r="G276" s="230" t="str">
        <f>IFERROR(_xlfn.XLOOKUP($A276,'Raw Data'!$A:$A,'Raw Data'!$AO:$AO),"")</f>
        <v/>
      </c>
      <c r="H276" s="230"/>
      <c r="I276" s="230" t="str">
        <f>IFERROR(_xlfn.XLOOKUP($A276,'Raw Data'!$A:$A,'Raw Data'!$AR:$AR),"")</f>
        <v/>
      </c>
      <c r="J276" s="230"/>
      <c r="K276" s="230" t="str">
        <f>IFERROR(_xlfn.XLOOKUP($A276,'Raw Data'!$A:$A,'Raw Data'!$AV:$AV),"")</f>
        <v/>
      </c>
      <c r="L276" s="230" t="str">
        <f>IFERROR(_xlfn.XLOOKUP($A276,'Raw Data'!$A:$A,'Raw Data'!$AW:$AW),"")</f>
        <v/>
      </c>
      <c r="M276" s="230" t="str">
        <f>IFERROR(_xlfn.XLOOKUP($A276,'Raw Data'!$A:$A,'Raw Data'!$AX:$AX),"")</f>
        <v/>
      </c>
      <c r="N276" s="230" t="str">
        <f>IFERROR(_xlfn.XLOOKUP($A276,'Raw Data'!$A:$A,'Raw Data'!$AY:$AY),"")</f>
        <v/>
      </c>
      <c r="O276" s="231" t="str">
        <f>IFERROR(1-(SUMIF('Plant BD'!$B:$B,A276,'Plant BD'!$AE:$AE)/(AA276+SUMIF('Plant BD'!$B:$B,A276,'Plant BD'!$AE:$AE))),"")</f>
        <v/>
      </c>
      <c r="P276" s="231"/>
      <c r="Q276" s="232"/>
      <c r="R276" s="231" t="str">
        <f>IFERROR(1-(SUMIF('Grid BD'!$B:$B,$A276,'Grid BD'!$AD:$AD)/($AA276+SUMIF('Grid BD'!$B:$B,$A276,'Grid BD'!AD:AD))),"")</f>
        <v/>
      </c>
      <c r="S276" s="6"/>
      <c r="T276" s="232"/>
      <c r="U276" s="233" t="str">
        <f t="shared" si="21"/>
        <v/>
      </c>
      <c r="V276" s="233"/>
      <c r="W276" s="234" t="str">
        <f t="shared" si="19"/>
        <v/>
      </c>
      <c r="X276" s="227" t="str">
        <f>IFERROR(_xlfn.XLOOKUP($A276,'Raw Data'!$A:$A,'Raw Data'!$BA:$BA),"")</f>
        <v/>
      </c>
      <c r="Y276" s="227" t="str">
        <f>IFERROR(_xlfn.XLOOKUP($A276,'Raw Data'!$A:$A,'Raw Data'!BJ:BJ),"")</f>
        <v/>
      </c>
      <c r="Z276" s="227" t="str">
        <f>IFERROR(_xlfn.XLOOKUP($A276,'Raw Data'!$A:$A,'Raw Data'!BK:BK),"")</f>
        <v/>
      </c>
      <c r="AA276" s="227" t="str">
        <f>IFERROR(_xlfn.XLOOKUP($A276,'Raw Data'!$A:$A,'Raw Data'!BL:BL),"")</f>
        <v/>
      </c>
      <c r="AB276" s="227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27">
        <f>IFERROR(_xlfn.XLOOKUP($D276,'Modelling New'!$D:$D,'Modelling New'!$T:$T)*1000,"")</f>
        <v>111806.4041783969</v>
      </c>
      <c r="AE276" s="234">
        <f>IFERROR(_xlfn.XLOOKUP($D276,'Modelling New'!$D:$D,'Modelling New'!$O:$O),"")</f>
        <v>0.709882979577386</v>
      </c>
      <c r="AF276" s="234">
        <f>IFERROR(_xlfn.XLOOKUP($D276,'Modelling New'!$D:$D,'Modelling New'!$W:$W),"")</f>
        <v>0.19168748736168928</v>
      </c>
      <c r="AG276" s="234">
        <f>IFERROR(_xlfn.XLOOKUP($D276,'Modelling New'!$D:$D,'Modelling New'!AE:AE),"")</f>
        <v>0.995</v>
      </c>
      <c r="AH276" s="234">
        <v>0.99750000000000005</v>
      </c>
      <c r="AI276" s="6"/>
      <c r="AJ276" s="6"/>
      <c r="AK276" s="6"/>
      <c r="AL276" s="6"/>
      <c r="AM276" s="6"/>
      <c r="AN276" s="231"/>
      <c r="AO276" s="234"/>
      <c r="AP276" s="234"/>
      <c r="AQ276" s="234"/>
      <c r="AR276" s="227">
        <f>IFERROR(_xlfn.XLOOKUP($D276,'Modelling New'!$D:$D,'Modelling New'!$N:$N),"")</f>
        <v>24.303100000000001</v>
      </c>
      <c r="AS276" s="227"/>
    </row>
    <row r="277" spans="1:45" x14ac:dyDescent="0.35">
      <c r="A277" s="226">
        <f t="shared" si="22"/>
        <v>46020</v>
      </c>
      <c r="B277" s="227">
        <f>YEAR(Daily_KPI[[#This Row],[Date]])+IF(MONTH(Daily_KPI[[#This Row],[Date]])&gt;=4,1,0)</f>
        <v>2026</v>
      </c>
      <c r="C277" s="6">
        <f>YEAR(Daily_KPI[[#This Row],[Date]])</f>
        <v>2025</v>
      </c>
      <c r="D277" s="228">
        <f>Daily_KPI[[#This Row],[Date]]-DAY(Daily_KPI[[#This Row],[Date]])+1</f>
        <v>45992</v>
      </c>
      <c r="E277" s="6">
        <f t="shared" si="20"/>
        <v>31</v>
      </c>
      <c r="F277" s="229" t="str">
        <f>IFERROR(_xlfn.XLOOKUP($A277,'Raw Data'!$A:$A,'Raw Data'!$BR:$BR),"")</f>
        <v/>
      </c>
      <c r="G277" s="230" t="str">
        <f>IFERROR(_xlfn.XLOOKUP($A277,'Raw Data'!$A:$A,'Raw Data'!$AO:$AO),"")</f>
        <v/>
      </c>
      <c r="H277" s="230"/>
      <c r="I277" s="230" t="str">
        <f>IFERROR(_xlfn.XLOOKUP($A277,'Raw Data'!$A:$A,'Raw Data'!$AR:$AR),"")</f>
        <v/>
      </c>
      <c r="J277" s="230"/>
      <c r="K277" s="230" t="str">
        <f>IFERROR(_xlfn.XLOOKUP($A277,'Raw Data'!$A:$A,'Raw Data'!$AV:$AV),"")</f>
        <v/>
      </c>
      <c r="L277" s="230" t="str">
        <f>IFERROR(_xlfn.XLOOKUP($A277,'Raw Data'!$A:$A,'Raw Data'!$AW:$AW),"")</f>
        <v/>
      </c>
      <c r="M277" s="230" t="str">
        <f>IFERROR(_xlfn.XLOOKUP($A277,'Raw Data'!$A:$A,'Raw Data'!$AX:$AX),"")</f>
        <v/>
      </c>
      <c r="N277" s="230" t="str">
        <f>IFERROR(_xlfn.XLOOKUP($A277,'Raw Data'!$A:$A,'Raw Data'!$AY:$AY),"")</f>
        <v/>
      </c>
      <c r="O277" s="231" t="str">
        <f>IFERROR(1-(SUMIF('Plant BD'!$B:$B,A277,'Plant BD'!$AE:$AE)/(AA277+SUMIF('Plant BD'!$B:$B,A277,'Plant BD'!$AE:$AE))),"")</f>
        <v/>
      </c>
      <c r="P277" s="231"/>
      <c r="Q277" s="232"/>
      <c r="R277" s="231" t="str">
        <f>IFERROR(1-(SUMIF('Grid BD'!$B:$B,$A277,'Grid BD'!$AD:$AD)/($AA277+SUMIF('Grid BD'!$B:$B,$A277,'Grid BD'!AD:AD))),"")</f>
        <v/>
      </c>
      <c r="S277" s="6"/>
      <c r="T277" s="232"/>
      <c r="U277" s="233" t="str">
        <f t="shared" si="21"/>
        <v/>
      </c>
      <c r="V277" s="233"/>
      <c r="W277" s="234" t="str">
        <f t="shared" si="19"/>
        <v/>
      </c>
      <c r="X277" s="227" t="str">
        <f>IFERROR(_xlfn.XLOOKUP($A277,'Raw Data'!$A:$A,'Raw Data'!$BA:$BA),"")</f>
        <v/>
      </c>
      <c r="Y277" s="227" t="str">
        <f>IFERROR(_xlfn.XLOOKUP($A277,'Raw Data'!$A:$A,'Raw Data'!BJ:BJ),"")</f>
        <v/>
      </c>
      <c r="Z277" s="227" t="str">
        <f>IFERROR(_xlfn.XLOOKUP($A277,'Raw Data'!$A:$A,'Raw Data'!BK:BK),"")</f>
        <v/>
      </c>
      <c r="AA277" s="227" t="str">
        <f>IFERROR(_xlfn.XLOOKUP($A277,'Raw Data'!$A:$A,'Raw Data'!BL:BL),"")</f>
        <v/>
      </c>
      <c r="AB277" s="227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27">
        <f>IFERROR(_xlfn.XLOOKUP($D277,'Modelling New'!$D:$D,'Modelling New'!$T:$T)*1000,"")</f>
        <v>111806.4041783969</v>
      </c>
      <c r="AE277" s="234">
        <f>IFERROR(_xlfn.XLOOKUP($D277,'Modelling New'!$D:$D,'Modelling New'!$O:$O),"")</f>
        <v>0.709882979577386</v>
      </c>
      <c r="AF277" s="234">
        <f>IFERROR(_xlfn.XLOOKUP($D277,'Modelling New'!$D:$D,'Modelling New'!$W:$W),"")</f>
        <v>0.19168748736168928</v>
      </c>
      <c r="AG277" s="234">
        <f>IFERROR(_xlfn.XLOOKUP($D277,'Modelling New'!$D:$D,'Modelling New'!AE:AE),"")</f>
        <v>0.995</v>
      </c>
      <c r="AH277" s="234">
        <v>0.99750000000000005</v>
      </c>
      <c r="AI277" s="6"/>
      <c r="AJ277" s="6"/>
      <c r="AK277" s="6"/>
      <c r="AL277" s="6"/>
      <c r="AM277" s="6"/>
      <c r="AN277" s="231"/>
      <c r="AO277" s="234"/>
      <c r="AP277" s="234"/>
      <c r="AQ277" s="234"/>
      <c r="AR277" s="227">
        <f>IFERROR(_xlfn.XLOOKUP($D277,'Modelling New'!$D:$D,'Modelling New'!$N:$N),"")</f>
        <v>24.303100000000001</v>
      </c>
      <c r="AS277" s="227"/>
    </row>
    <row r="278" spans="1:45" x14ac:dyDescent="0.35">
      <c r="A278" s="226">
        <f t="shared" si="22"/>
        <v>46021</v>
      </c>
      <c r="B278" s="227">
        <f>YEAR(Daily_KPI[[#This Row],[Date]])+IF(MONTH(Daily_KPI[[#This Row],[Date]])&gt;=4,1,0)</f>
        <v>2026</v>
      </c>
      <c r="C278" s="6">
        <f>YEAR(Daily_KPI[[#This Row],[Date]])</f>
        <v>2025</v>
      </c>
      <c r="D278" s="228">
        <f>Daily_KPI[[#This Row],[Date]]-DAY(Daily_KPI[[#This Row],[Date]])+1</f>
        <v>45992</v>
      </c>
      <c r="E278" s="6">
        <f t="shared" si="20"/>
        <v>31</v>
      </c>
      <c r="F278" s="229" t="str">
        <f>IFERROR(_xlfn.XLOOKUP($A278,'Raw Data'!$A:$A,'Raw Data'!$BR:$BR),"")</f>
        <v/>
      </c>
      <c r="G278" s="230" t="str">
        <f>IFERROR(_xlfn.XLOOKUP($A278,'Raw Data'!$A:$A,'Raw Data'!$AO:$AO),"")</f>
        <v/>
      </c>
      <c r="H278" s="230"/>
      <c r="I278" s="230" t="str">
        <f>IFERROR(_xlfn.XLOOKUP($A278,'Raw Data'!$A:$A,'Raw Data'!$AR:$AR),"")</f>
        <v/>
      </c>
      <c r="J278" s="230"/>
      <c r="K278" s="230" t="str">
        <f>IFERROR(_xlfn.XLOOKUP($A278,'Raw Data'!$A:$A,'Raw Data'!$AV:$AV),"")</f>
        <v/>
      </c>
      <c r="L278" s="230" t="str">
        <f>IFERROR(_xlfn.XLOOKUP($A278,'Raw Data'!$A:$A,'Raw Data'!$AW:$AW),"")</f>
        <v/>
      </c>
      <c r="M278" s="230" t="str">
        <f>IFERROR(_xlfn.XLOOKUP($A278,'Raw Data'!$A:$A,'Raw Data'!$AX:$AX),"")</f>
        <v/>
      </c>
      <c r="N278" s="230" t="str">
        <f>IFERROR(_xlfn.XLOOKUP($A278,'Raw Data'!$A:$A,'Raw Data'!$AY:$AY),"")</f>
        <v/>
      </c>
      <c r="O278" s="231" t="str">
        <f>IFERROR(1-(SUMIF('Plant BD'!$B:$B,A278,'Plant BD'!$AE:$AE)/(AA278+SUMIF('Plant BD'!$B:$B,A278,'Plant BD'!$AE:$AE))),"")</f>
        <v/>
      </c>
      <c r="P278" s="231"/>
      <c r="Q278" s="232"/>
      <c r="R278" s="231" t="str">
        <f>IFERROR(1-(SUMIF('Grid BD'!$B:$B,$A278,'Grid BD'!$AD:$AD)/($AA278+SUMIF('Grid BD'!$B:$B,$A278,'Grid BD'!AD:AD))),"")</f>
        <v/>
      </c>
      <c r="S278" s="6"/>
      <c r="T278" s="232"/>
      <c r="U278" s="233" t="str">
        <f t="shared" si="21"/>
        <v/>
      </c>
      <c r="V278" s="233"/>
      <c r="W278" s="234" t="str">
        <f t="shared" si="19"/>
        <v/>
      </c>
      <c r="X278" s="227" t="str">
        <f>IFERROR(_xlfn.XLOOKUP($A278,'Raw Data'!$A:$A,'Raw Data'!$BA:$BA),"")</f>
        <v/>
      </c>
      <c r="Y278" s="227" t="str">
        <f>IFERROR(_xlfn.XLOOKUP($A278,'Raw Data'!$A:$A,'Raw Data'!BJ:BJ),"")</f>
        <v/>
      </c>
      <c r="Z278" s="227" t="str">
        <f>IFERROR(_xlfn.XLOOKUP($A278,'Raw Data'!$A:$A,'Raw Data'!BK:BK),"")</f>
        <v/>
      </c>
      <c r="AA278" s="227" t="str">
        <f>IFERROR(_xlfn.XLOOKUP($A278,'Raw Data'!$A:$A,'Raw Data'!BL:BL),"")</f>
        <v/>
      </c>
      <c r="AB278" s="227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27">
        <f>IFERROR(_xlfn.XLOOKUP($D278,'Modelling New'!$D:$D,'Modelling New'!$T:$T)*1000,"")</f>
        <v>111806.4041783969</v>
      </c>
      <c r="AE278" s="234">
        <f>IFERROR(_xlfn.XLOOKUP($D278,'Modelling New'!$D:$D,'Modelling New'!$O:$O),"")</f>
        <v>0.709882979577386</v>
      </c>
      <c r="AF278" s="234">
        <f>IFERROR(_xlfn.XLOOKUP($D278,'Modelling New'!$D:$D,'Modelling New'!$W:$W),"")</f>
        <v>0.19168748736168928</v>
      </c>
      <c r="AG278" s="234">
        <f>IFERROR(_xlfn.XLOOKUP($D278,'Modelling New'!$D:$D,'Modelling New'!AE:AE),"")</f>
        <v>0.995</v>
      </c>
      <c r="AH278" s="234">
        <v>0.99750000000000005</v>
      </c>
      <c r="AI278" s="6"/>
      <c r="AJ278" s="6"/>
      <c r="AK278" s="6"/>
      <c r="AL278" s="6"/>
      <c r="AM278" s="6"/>
      <c r="AN278" s="231"/>
      <c r="AO278" s="234"/>
      <c r="AP278" s="234"/>
      <c r="AQ278" s="234"/>
      <c r="AR278" s="227">
        <f>IFERROR(_xlfn.XLOOKUP($D278,'Modelling New'!$D:$D,'Modelling New'!$N:$N),"")</f>
        <v>24.303100000000001</v>
      </c>
      <c r="AS278" s="227"/>
    </row>
    <row r="279" spans="1:45" x14ac:dyDescent="0.35">
      <c r="A279" s="226">
        <f t="shared" si="22"/>
        <v>46022</v>
      </c>
      <c r="B279" s="227">
        <f>YEAR(Daily_KPI[[#This Row],[Date]])+IF(MONTH(Daily_KPI[[#This Row],[Date]])&gt;=4,1,0)</f>
        <v>2026</v>
      </c>
      <c r="C279" s="6">
        <f>YEAR(Daily_KPI[[#This Row],[Date]])</f>
        <v>2025</v>
      </c>
      <c r="D279" s="228">
        <f>Daily_KPI[[#This Row],[Date]]-DAY(Daily_KPI[[#This Row],[Date]])+1</f>
        <v>45992</v>
      </c>
      <c r="E279" s="6">
        <f t="shared" si="20"/>
        <v>31</v>
      </c>
      <c r="F279" s="229" t="str">
        <f>IFERROR(_xlfn.XLOOKUP($A279,'Raw Data'!$A:$A,'Raw Data'!$BR:$BR),"")</f>
        <v/>
      </c>
      <c r="G279" s="230" t="str">
        <f>IFERROR(_xlfn.XLOOKUP($A279,'Raw Data'!$A:$A,'Raw Data'!$AO:$AO),"")</f>
        <v/>
      </c>
      <c r="H279" s="230"/>
      <c r="I279" s="230" t="str">
        <f>IFERROR(_xlfn.XLOOKUP($A279,'Raw Data'!$A:$A,'Raw Data'!$AR:$AR),"")</f>
        <v/>
      </c>
      <c r="J279" s="230"/>
      <c r="K279" s="230" t="str">
        <f>IFERROR(_xlfn.XLOOKUP($A279,'Raw Data'!$A:$A,'Raw Data'!$AV:$AV),"")</f>
        <v/>
      </c>
      <c r="L279" s="230" t="str">
        <f>IFERROR(_xlfn.XLOOKUP($A279,'Raw Data'!$A:$A,'Raw Data'!$AW:$AW),"")</f>
        <v/>
      </c>
      <c r="M279" s="230" t="str">
        <f>IFERROR(_xlfn.XLOOKUP($A279,'Raw Data'!$A:$A,'Raw Data'!$AX:$AX),"")</f>
        <v/>
      </c>
      <c r="N279" s="230" t="str">
        <f>IFERROR(_xlfn.XLOOKUP($A279,'Raw Data'!$A:$A,'Raw Data'!$AY:$AY),"")</f>
        <v/>
      </c>
      <c r="O279" s="231" t="str">
        <f>IFERROR(1-(SUMIF('Plant BD'!$B:$B,A279,'Plant BD'!$AE:$AE)/(AA279+SUMIF('Plant BD'!$B:$B,A279,'Plant BD'!$AE:$AE))),"")</f>
        <v/>
      </c>
      <c r="P279" s="231"/>
      <c r="Q279" s="232"/>
      <c r="R279" s="231" t="str">
        <f>IFERROR(1-(SUMIF('Grid BD'!$B:$B,$A279,'Grid BD'!$AD:$AD)/($AA279+SUMIF('Grid BD'!$B:$B,$A279,'Grid BD'!AD:AD))),"")</f>
        <v/>
      </c>
      <c r="S279" s="6"/>
      <c r="T279" s="232"/>
      <c r="U279" s="233" t="str">
        <f t="shared" si="21"/>
        <v/>
      </c>
      <c r="V279" s="233"/>
      <c r="W279" s="234" t="str">
        <f t="shared" si="19"/>
        <v/>
      </c>
      <c r="X279" s="227" t="str">
        <f>IFERROR(_xlfn.XLOOKUP($A279,'Raw Data'!$A:$A,'Raw Data'!$BA:$BA),"")</f>
        <v/>
      </c>
      <c r="Y279" s="227" t="str">
        <f>IFERROR(_xlfn.XLOOKUP($A279,'Raw Data'!$A:$A,'Raw Data'!BJ:BJ),"")</f>
        <v/>
      </c>
      <c r="Z279" s="227" t="str">
        <f>IFERROR(_xlfn.XLOOKUP($A279,'Raw Data'!$A:$A,'Raw Data'!BK:BK),"")</f>
        <v/>
      </c>
      <c r="AA279" s="227" t="str">
        <f>IFERROR(_xlfn.XLOOKUP($A279,'Raw Data'!$A:$A,'Raw Data'!BL:BL),"")</f>
        <v/>
      </c>
      <c r="AB279" s="227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27">
        <f>IFERROR(_xlfn.XLOOKUP($D279,'Modelling New'!$D:$D,'Modelling New'!$T:$T)*1000,"")</f>
        <v>111806.4041783969</v>
      </c>
      <c r="AE279" s="234">
        <f>IFERROR(_xlfn.XLOOKUP($D279,'Modelling New'!$D:$D,'Modelling New'!$O:$O),"")</f>
        <v>0.709882979577386</v>
      </c>
      <c r="AF279" s="234">
        <f>IFERROR(_xlfn.XLOOKUP($D279,'Modelling New'!$D:$D,'Modelling New'!$W:$W),"")</f>
        <v>0.19168748736168928</v>
      </c>
      <c r="AG279" s="234">
        <f>IFERROR(_xlfn.XLOOKUP($D279,'Modelling New'!$D:$D,'Modelling New'!AE:AE),"")</f>
        <v>0.995</v>
      </c>
      <c r="AH279" s="234">
        <v>0.99750000000000005</v>
      </c>
      <c r="AI279" s="6"/>
      <c r="AJ279" s="6"/>
      <c r="AK279" s="6"/>
      <c r="AL279" s="6"/>
      <c r="AM279" s="6"/>
      <c r="AN279" s="231"/>
      <c r="AO279" s="234"/>
      <c r="AP279" s="234"/>
      <c r="AQ279" s="234"/>
      <c r="AR279" s="227">
        <f>IFERROR(_xlfn.XLOOKUP($D279,'Modelling New'!$D:$D,'Modelling New'!$N:$N),"")</f>
        <v>24.303100000000001</v>
      </c>
      <c r="AS279" s="227"/>
    </row>
    <row r="280" spans="1:45" x14ac:dyDescent="0.35">
      <c r="A280" s="226">
        <f t="shared" si="22"/>
        <v>46023</v>
      </c>
      <c r="B280" s="227">
        <f>YEAR(Daily_KPI[[#This Row],[Date]])+IF(MONTH(Daily_KPI[[#This Row],[Date]])&gt;=4,1,0)</f>
        <v>2026</v>
      </c>
      <c r="C280" s="6">
        <f>YEAR(Daily_KPI[[#This Row],[Date]])</f>
        <v>2026</v>
      </c>
      <c r="D280" s="228">
        <f>Daily_KPI[[#This Row],[Date]]-DAY(Daily_KPI[[#This Row],[Date]])+1</f>
        <v>46023</v>
      </c>
      <c r="E280" s="6">
        <f t="shared" si="20"/>
        <v>31</v>
      </c>
      <c r="F280" s="229" t="str">
        <f>IFERROR(_xlfn.XLOOKUP($A280,'Raw Data'!$A:$A,'Raw Data'!$BR:$BR),"")</f>
        <v/>
      </c>
      <c r="G280" s="230" t="str">
        <f>IFERROR(_xlfn.XLOOKUP($A280,'Raw Data'!$A:$A,'Raw Data'!$AO:$AO),"")</f>
        <v/>
      </c>
      <c r="H280" s="230"/>
      <c r="I280" s="230" t="str">
        <f>IFERROR(_xlfn.XLOOKUP($A280,'Raw Data'!$A:$A,'Raw Data'!$AR:$AR),"")</f>
        <v/>
      </c>
      <c r="J280" s="230"/>
      <c r="K280" s="230" t="str">
        <f>IFERROR(_xlfn.XLOOKUP($A280,'Raw Data'!$A:$A,'Raw Data'!$AV:$AV),"")</f>
        <v/>
      </c>
      <c r="L280" s="230" t="str">
        <f>IFERROR(_xlfn.XLOOKUP($A280,'Raw Data'!$A:$A,'Raw Data'!$AW:$AW),"")</f>
        <v/>
      </c>
      <c r="M280" s="230" t="str">
        <f>IFERROR(_xlfn.XLOOKUP($A280,'Raw Data'!$A:$A,'Raw Data'!$AX:$AX),"")</f>
        <v/>
      </c>
      <c r="N280" s="230" t="str">
        <f>IFERROR(_xlfn.XLOOKUP($A280,'Raw Data'!$A:$A,'Raw Data'!$AY:$AY),"")</f>
        <v/>
      </c>
      <c r="O280" s="231" t="str">
        <f>IFERROR(1-(SUMIF('Plant BD'!$B:$B,A280,'Plant BD'!$AE:$AE)/(AA280+SUMIF('Plant BD'!$B:$B,A280,'Plant BD'!$AE:$AE))),"")</f>
        <v/>
      </c>
      <c r="P280" s="231"/>
      <c r="Q280" s="232"/>
      <c r="R280" s="231" t="str">
        <f>IFERROR(1-(SUMIF('Grid BD'!$B:$B,$A280,'Grid BD'!$AD:$AD)/($AA280+SUMIF('Grid BD'!$B:$B,$A280,'Grid BD'!AD:AD))),"")</f>
        <v/>
      </c>
      <c r="S280" s="6"/>
      <c r="T280" s="232"/>
      <c r="U280" s="233" t="str">
        <f t="shared" si="21"/>
        <v/>
      </c>
      <c r="V280" s="233"/>
      <c r="W280" s="234" t="str">
        <f t="shared" si="19"/>
        <v/>
      </c>
      <c r="X280" s="227" t="str">
        <f>IFERROR(_xlfn.XLOOKUP($A280,'Raw Data'!$A:$A,'Raw Data'!$BA:$BA),"")</f>
        <v/>
      </c>
      <c r="Y280" s="227" t="str">
        <f>IFERROR(_xlfn.XLOOKUP($A280,'Raw Data'!$A:$A,'Raw Data'!BJ:BJ),"")</f>
        <v/>
      </c>
      <c r="Z280" s="227" t="str">
        <f>IFERROR(_xlfn.XLOOKUP($A280,'Raw Data'!$A:$A,'Raw Data'!BK:BK),"")</f>
        <v/>
      </c>
      <c r="AA280" s="227" t="str">
        <f>IFERROR(_xlfn.XLOOKUP($A280,'Raw Data'!$A:$A,'Raw Data'!BL:BL),"")</f>
        <v/>
      </c>
      <c r="AB280" s="227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27">
        <f>IFERROR(_xlfn.XLOOKUP($D280,'Modelling New'!$D:$D,'Modelling New'!$T:$T)*1000,"")</f>
        <v>114636.64210349345</v>
      </c>
      <c r="AE280" s="234">
        <f>IFERROR(_xlfn.XLOOKUP($D280,'Modelling New'!$D:$D,'Modelling New'!$O:$O),"")</f>
        <v>0.69465853509305142</v>
      </c>
      <c r="AF280" s="234">
        <f>IFERROR(_xlfn.XLOOKUP($D280,'Modelling New'!$D:$D,'Modelling New'!$W:$W),"")</f>
        <v>0.19653981402834317</v>
      </c>
      <c r="AG280" s="234">
        <f>IFERROR(_xlfn.XLOOKUP($D280,'Modelling New'!$D:$D,'Modelling New'!AE:AE),"")</f>
        <v>0.995</v>
      </c>
      <c r="AH280" s="234">
        <v>0.99750000000000005</v>
      </c>
      <c r="AI280" s="6"/>
      <c r="AJ280" s="6"/>
      <c r="AK280" s="6"/>
      <c r="AL280" s="6"/>
      <c r="AM280" s="6"/>
      <c r="AN280" s="231"/>
      <c r="AO280" s="234"/>
      <c r="AP280" s="234"/>
      <c r="AQ280" s="234"/>
      <c r="AR280" s="227">
        <f>IFERROR(_xlfn.XLOOKUP($D280,'Modelling New'!$D:$D,'Modelling New'!$N:$N),"")</f>
        <v>24.303100000000001</v>
      </c>
      <c r="AS280" s="227"/>
    </row>
    <row r="281" spans="1:45" x14ac:dyDescent="0.35">
      <c r="A281" s="226">
        <f t="shared" si="22"/>
        <v>46024</v>
      </c>
      <c r="B281" s="227">
        <f>YEAR(Daily_KPI[[#This Row],[Date]])+IF(MONTH(Daily_KPI[[#This Row],[Date]])&gt;=4,1,0)</f>
        <v>2026</v>
      </c>
      <c r="C281" s="6">
        <f>YEAR(Daily_KPI[[#This Row],[Date]])</f>
        <v>2026</v>
      </c>
      <c r="D281" s="228">
        <f>Daily_KPI[[#This Row],[Date]]-DAY(Daily_KPI[[#This Row],[Date]])+1</f>
        <v>46023</v>
      </c>
      <c r="E281" s="6">
        <f t="shared" si="20"/>
        <v>31</v>
      </c>
      <c r="F281" s="229" t="str">
        <f>IFERROR(_xlfn.XLOOKUP($A281,'Raw Data'!$A:$A,'Raw Data'!$BR:$BR),"")</f>
        <v/>
      </c>
      <c r="G281" s="230" t="str">
        <f>IFERROR(_xlfn.XLOOKUP($A281,'Raw Data'!$A:$A,'Raw Data'!$AO:$AO),"")</f>
        <v/>
      </c>
      <c r="H281" s="230"/>
      <c r="I281" s="230" t="str">
        <f>IFERROR(_xlfn.XLOOKUP($A281,'Raw Data'!$A:$A,'Raw Data'!$AR:$AR),"")</f>
        <v/>
      </c>
      <c r="J281" s="230"/>
      <c r="K281" s="230" t="str">
        <f>IFERROR(_xlfn.XLOOKUP($A281,'Raw Data'!$A:$A,'Raw Data'!$AV:$AV),"")</f>
        <v/>
      </c>
      <c r="L281" s="230" t="str">
        <f>IFERROR(_xlfn.XLOOKUP($A281,'Raw Data'!$A:$A,'Raw Data'!$AW:$AW),"")</f>
        <v/>
      </c>
      <c r="M281" s="230" t="str">
        <f>IFERROR(_xlfn.XLOOKUP($A281,'Raw Data'!$A:$A,'Raw Data'!$AX:$AX),"")</f>
        <v/>
      </c>
      <c r="N281" s="230" t="str">
        <f>IFERROR(_xlfn.XLOOKUP($A281,'Raw Data'!$A:$A,'Raw Data'!$AY:$AY),"")</f>
        <v/>
      </c>
      <c r="O281" s="231" t="str">
        <f>IFERROR(1-(SUMIF('Plant BD'!$B:$B,A281,'Plant BD'!$AE:$AE)/(AA281+SUMIF('Plant BD'!$B:$B,A281,'Plant BD'!$AE:$AE))),"")</f>
        <v/>
      </c>
      <c r="P281" s="231"/>
      <c r="Q281" s="232"/>
      <c r="R281" s="231" t="str">
        <f>IFERROR(1-(SUMIF('Grid BD'!$B:$B,$A281,'Grid BD'!$AD:$AD)/($AA281+SUMIF('Grid BD'!$B:$B,$A281,'Grid BD'!AD:AD))),"")</f>
        <v/>
      </c>
      <c r="S281" s="6"/>
      <c r="T281" s="232"/>
      <c r="U281" s="233" t="str">
        <f t="shared" si="21"/>
        <v/>
      </c>
      <c r="V281" s="233"/>
      <c r="W281" s="234" t="str">
        <f t="shared" si="19"/>
        <v/>
      </c>
      <c r="X281" s="227" t="str">
        <f>IFERROR(_xlfn.XLOOKUP($A281,'Raw Data'!$A:$A,'Raw Data'!$BA:$BA),"")</f>
        <v/>
      </c>
      <c r="Y281" s="227" t="str">
        <f>IFERROR(_xlfn.XLOOKUP($A281,'Raw Data'!$A:$A,'Raw Data'!BJ:BJ),"")</f>
        <v/>
      </c>
      <c r="Z281" s="227" t="str">
        <f>IFERROR(_xlfn.XLOOKUP($A281,'Raw Data'!$A:$A,'Raw Data'!BK:BK),"")</f>
        <v/>
      </c>
      <c r="AA281" s="227" t="str">
        <f>IFERROR(_xlfn.XLOOKUP($A281,'Raw Data'!$A:$A,'Raw Data'!BL:BL),"")</f>
        <v/>
      </c>
      <c r="AB281" s="227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27">
        <f>IFERROR(_xlfn.XLOOKUP($D281,'Modelling New'!$D:$D,'Modelling New'!$T:$T)*1000,"")</f>
        <v>114636.64210349345</v>
      </c>
      <c r="AE281" s="234">
        <f>IFERROR(_xlfn.XLOOKUP($D281,'Modelling New'!$D:$D,'Modelling New'!$O:$O),"")</f>
        <v>0.69465853509305142</v>
      </c>
      <c r="AF281" s="234">
        <f>IFERROR(_xlfn.XLOOKUP($D281,'Modelling New'!$D:$D,'Modelling New'!$W:$W),"")</f>
        <v>0.19653981402834317</v>
      </c>
      <c r="AG281" s="234">
        <f>IFERROR(_xlfn.XLOOKUP($D281,'Modelling New'!$D:$D,'Modelling New'!AE:AE),"")</f>
        <v>0.995</v>
      </c>
      <c r="AH281" s="234">
        <v>0.99750000000000005</v>
      </c>
      <c r="AI281" s="6"/>
      <c r="AJ281" s="6"/>
      <c r="AK281" s="6"/>
      <c r="AL281" s="6"/>
      <c r="AM281" s="6"/>
      <c r="AN281" s="231"/>
      <c r="AO281" s="234"/>
      <c r="AP281" s="234"/>
      <c r="AQ281" s="234"/>
      <c r="AR281" s="227">
        <f>IFERROR(_xlfn.XLOOKUP($D281,'Modelling New'!$D:$D,'Modelling New'!$N:$N),"")</f>
        <v>24.303100000000001</v>
      </c>
      <c r="AS281" s="227"/>
    </row>
    <row r="282" spans="1:45" x14ac:dyDescent="0.35">
      <c r="A282" s="226">
        <f t="shared" si="22"/>
        <v>46025</v>
      </c>
      <c r="B282" s="227">
        <f>YEAR(Daily_KPI[[#This Row],[Date]])+IF(MONTH(Daily_KPI[[#This Row],[Date]])&gt;=4,1,0)</f>
        <v>2026</v>
      </c>
      <c r="C282" s="6">
        <f>YEAR(Daily_KPI[[#This Row],[Date]])</f>
        <v>2026</v>
      </c>
      <c r="D282" s="228">
        <f>Daily_KPI[[#This Row],[Date]]-DAY(Daily_KPI[[#This Row],[Date]])+1</f>
        <v>46023</v>
      </c>
      <c r="E282" s="6">
        <f t="shared" si="20"/>
        <v>31</v>
      </c>
      <c r="F282" s="229" t="str">
        <f>IFERROR(_xlfn.XLOOKUP($A282,'Raw Data'!$A:$A,'Raw Data'!$BR:$BR),"")</f>
        <v/>
      </c>
      <c r="G282" s="230" t="str">
        <f>IFERROR(_xlfn.XLOOKUP($A282,'Raw Data'!$A:$A,'Raw Data'!$AO:$AO),"")</f>
        <v/>
      </c>
      <c r="H282" s="230"/>
      <c r="I282" s="230" t="str">
        <f>IFERROR(_xlfn.XLOOKUP($A282,'Raw Data'!$A:$A,'Raw Data'!$AR:$AR),"")</f>
        <v/>
      </c>
      <c r="J282" s="230"/>
      <c r="K282" s="230" t="str">
        <f>IFERROR(_xlfn.XLOOKUP($A282,'Raw Data'!$A:$A,'Raw Data'!$AV:$AV),"")</f>
        <v/>
      </c>
      <c r="L282" s="230" t="str">
        <f>IFERROR(_xlfn.XLOOKUP($A282,'Raw Data'!$A:$A,'Raw Data'!$AW:$AW),"")</f>
        <v/>
      </c>
      <c r="M282" s="230" t="str">
        <f>IFERROR(_xlfn.XLOOKUP($A282,'Raw Data'!$A:$A,'Raw Data'!$AX:$AX),"")</f>
        <v/>
      </c>
      <c r="N282" s="230" t="str">
        <f>IFERROR(_xlfn.XLOOKUP($A282,'Raw Data'!$A:$A,'Raw Data'!$AY:$AY),"")</f>
        <v/>
      </c>
      <c r="O282" s="231" t="str">
        <f>IFERROR(1-(SUMIF('Plant BD'!$B:$B,A282,'Plant BD'!$AE:$AE)/(AA282+SUMIF('Plant BD'!$B:$B,A282,'Plant BD'!$AE:$AE))),"")</f>
        <v/>
      </c>
      <c r="P282" s="231"/>
      <c r="Q282" s="232"/>
      <c r="R282" s="231" t="str">
        <f>IFERROR(1-(SUMIF('Grid BD'!$B:$B,$A282,'Grid BD'!$AD:$AD)/($AA282+SUMIF('Grid BD'!$B:$B,$A282,'Grid BD'!AD:AD))),"")</f>
        <v/>
      </c>
      <c r="S282" s="6"/>
      <c r="T282" s="232"/>
      <c r="U282" s="233" t="str">
        <f t="shared" si="21"/>
        <v/>
      </c>
      <c r="V282" s="233"/>
      <c r="W282" s="234" t="str">
        <f t="shared" si="19"/>
        <v/>
      </c>
      <c r="X282" s="227" t="str">
        <f>IFERROR(_xlfn.XLOOKUP($A282,'Raw Data'!$A:$A,'Raw Data'!$BA:$BA),"")</f>
        <v/>
      </c>
      <c r="Y282" s="227" t="str">
        <f>IFERROR(_xlfn.XLOOKUP($A282,'Raw Data'!$A:$A,'Raw Data'!BJ:BJ),"")</f>
        <v/>
      </c>
      <c r="Z282" s="227" t="str">
        <f>IFERROR(_xlfn.XLOOKUP($A282,'Raw Data'!$A:$A,'Raw Data'!BK:BK),"")</f>
        <v/>
      </c>
      <c r="AA282" s="227" t="str">
        <f>IFERROR(_xlfn.XLOOKUP($A282,'Raw Data'!$A:$A,'Raw Data'!BL:BL),"")</f>
        <v/>
      </c>
      <c r="AB282" s="227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27">
        <f>IFERROR(_xlfn.XLOOKUP($D282,'Modelling New'!$D:$D,'Modelling New'!$T:$T)*1000,"")</f>
        <v>114636.64210349345</v>
      </c>
      <c r="AE282" s="234">
        <f>IFERROR(_xlfn.XLOOKUP($D282,'Modelling New'!$D:$D,'Modelling New'!$O:$O),"")</f>
        <v>0.69465853509305142</v>
      </c>
      <c r="AF282" s="234">
        <f>IFERROR(_xlfn.XLOOKUP($D282,'Modelling New'!$D:$D,'Modelling New'!$W:$W),"")</f>
        <v>0.19653981402834317</v>
      </c>
      <c r="AG282" s="234">
        <f>IFERROR(_xlfn.XLOOKUP($D282,'Modelling New'!$D:$D,'Modelling New'!AE:AE),"")</f>
        <v>0.995</v>
      </c>
      <c r="AH282" s="234">
        <v>0.99750000000000005</v>
      </c>
      <c r="AI282" s="6"/>
      <c r="AJ282" s="6"/>
      <c r="AK282" s="6"/>
      <c r="AL282" s="6"/>
      <c r="AM282" s="6"/>
      <c r="AN282" s="231"/>
      <c r="AO282" s="234"/>
      <c r="AP282" s="234"/>
      <c r="AQ282" s="234"/>
      <c r="AR282" s="227">
        <f>IFERROR(_xlfn.XLOOKUP($D282,'Modelling New'!$D:$D,'Modelling New'!$N:$N),"")</f>
        <v>24.303100000000001</v>
      </c>
      <c r="AS282" s="227"/>
    </row>
    <row r="283" spans="1:45" x14ac:dyDescent="0.35">
      <c r="A283" s="226">
        <f t="shared" si="22"/>
        <v>46026</v>
      </c>
      <c r="B283" s="227">
        <f>YEAR(Daily_KPI[[#This Row],[Date]])+IF(MONTH(Daily_KPI[[#This Row],[Date]])&gt;=4,1,0)</f>
        <v>2026</v>
      </c>
      <c r="C283" s="6">
        <f>YEAR(Daily_KPI[[#This Row],[Date]])</f>
        <v>2026</v>
      </c>
      <c r="D283" s="228">
        <f>Daily_KPI[[#This Row],[Date]]-DAY(Daily_KPI[[#This Row],[Date]])+1</f>
        <v>46023</v>
      </c>
      <c r="E283" s="6">
        <f t="shared" si="20"/>
        <v>31</v>
      </c>
      <c r="F283" s="229" t="str">
        <f>IFERROR(_xlfn.XLOOKUP($A283,'Raw Data'!$A:$A,'Raw Data'!$BR:$BR),"")</f>
        <v/>
      </c>
      <c r="G283" s="230" t="str">
        <f>IFERROR(_xlfn.XLOOKUP($A283,'Raw Data'!$A:$A,'Raw Data'!$AO:$AO),"")</f>
        <v/>
      </c>
      <c r="H283" s="230"/>
      <c r="I283" s="230" t="str">
        <f>IFERROR(_xlfn.XLOOKUP($A283,'Raw Data'!$A:$A,'Raw Data'!$AR:$AR),"")</f>
        <v/>
      </c>
      <c r="J283" s="230"/>
      <c r="K283" s="230" t="str">
        <f>IFERROR(_xlfn.XLOOKUP($A283,'Raw Data'!$A:$A,'Raw Data'!$AV:$AV),"")</f>
        <v/>
      </c>
      <c r="L283" s="230" t="str">
        <f>IFERROR(_xlfn.XLOOKUP($A283,'Raw Data'!$A:$A,'Raw Data'!$AW:$AW),"")</f>
        <v/>
      </c>
      <c r="M283" s="230" t="str">
        <f>IFERROR(_xlfn.XLOOKUP($A283,'Raw Data'!$A:$A,'Raw Data'!$AX:$AX),"")</f>
        <v/>
      </c>
      <c r="N283" s="230" t="str">
        <f>IFERROR(_xlfn.XLOOKUP($A283,'Raw Data'!$A:$A,'Raw Data'!$AY:$AY),"")</f>
        <v/>
      </c>
      <c r="O283" s="231" t="str">
        <f>IFERROR(1-(SUMIF('Plant BD'!$B:$B,A283,'Plant BD'!$AE:$AE)/(AA283+SUMIF('Plant BD'!$B:$B,A283,'Plant BD'!$AE:$AE))),"")</f>
        <v/>
      </c>
      <c r="P283" s="231"/>
      <c r="Q283" s="232"/>
      <c r="R283" s="231" t="str">
        <f>IFERROR(1-(SUMIF('Grid BD'!$B:$B,$A283,'Grid BD'!$AD:$AD)/($AA283+SUMIF('Grid BD'!$B:$B,$A283,'Grid BD'!AD:AD))),"")</f>
        <v/>
      </c>
      <c r="S283" s="6"/>
      <c r="T283" s="232"/>
      <c r="U283" s="233" t="str">
        <f t="shared" si="21"/>
        <v/>
      </c>
      <c r="V283" s="233"/>
      <c r="W283" s="234" t="str">
        <f t="shared" si="19"/>
        <v/>
      </c>
      <c r="X283" s="227" t="str">
        <f>IFERROR(_xlfn.XLOOKUP($A283,'Raw Data'!$A:$A,'Raw Data'!$BA:$BA),"")</f>
        <v/>
      </c>
      <c r="Y283" s="227" t="str">
        <f>IFERROR(_xlfn.XLOOKUP($A283,'Raw Data'!$A:$A,'Raw Data'!BJ:BJ),"")</f>
        <v/>
      </c>
      <c r="Z283" s="227" t="str">
        <f>IFERROR(_xlfn.XLOOKUP($A283,'Raw Data'!$A:$A,'Raw Data'!BK:BK),"")</f>
        <v/>
      </c>
      <c r="AA283" s="227" t="str">
        <f>IFERROR(_xlfn.XLOOKUP($A283,'Raw Data'!$A:$A,'Raw Data'!BL:BL),"")</f>
        <v/>
      </c>
      <c r="AB283" s="227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27">
        <f>IFERROR(_xlfn.XLOOKUP($D283,'Modelling New'!$D:$D,'Modelling New'!$T:$T)*1000,"")</f>
        <v>114636.64210349345</v>
      </c>
      <c r="AE283" s="234">
        <f>IFERROR(_xlfn.XLOOKUP($D283,'Modelling New'!$D:$D,'Modelling New'!$O:$O),"")</f>
        <v>0.69465853509305142</v>
      </c>
      <c r="AF283" s="234">
        <f>IFERROR(_xlfn.XLOOKUP($D283,'Modelling New'!$D:$D,'Modelling New'!$W:$W),"")</f>
        <v>0.19653981402834317</v>
      </c>
      <c r="AG283" s="234">
        <f>IFERROR(_xlfn.XLOOKUP($D283,'Modelling New'!$D:$D,'Modelling New'!AE:AE),"")</f>
        <v>0.995</v>
      </c>
      <c r="AH283" s="234">
        <v>0.99750000000000005</v>
      </c>
      <c r="AI283" s="6"/>
      <c r="AJ283" s="6"/>
      <c r="AK283" s="6"/>
      <c r="AL283" s="6"/>
      <c r="AM283" s="6"/>
      <c r="AN283" s="231"/>
      <c r="AO283" s="234"/>
      <c r="AP283" s="234"/>
      <c r="AQ283" s="234"/>
      <c r="AR283" s="227">
        <f>IFERROR(_xlfn.XLOOKUP($D283,'Modelling New'!$D:$D,'Modelling New'!$N:$N),"")</f>
        <v>24.303100000000001</v>
      </c>
      <c r="AS283" s="227"/>
    </row>
    <row r="284" spans="1:45" x14ac:dyDescent="0.35">
      <c r="A284" s="226">
        <f t="shared" si="22"/>
        <v>46027</v>
      </c>
      <c r="B284" s="227">
        <f>YEAR(Daily_KPI[[#This Row],[Date]])+IF(MONTH(Daily_KPI[[#This Row],[Date]])&gt;=4,1,0)</f>
        <v>2026</v>
      </c>
      <c r="C284" s="6">
        <f>YEAR(Daily_KPI[[#This Row],[Date]])</f>
        <v>2026</v>
      </c>
      <c r="D284" s="228">
        <f>Daily_KPI[[#This Row],[Date]]-DAY(Daily_KPI[[#This Row],[Date]])+1</f>
        <v>46023</v>
      </c>
      <c r="E284" s="6">
        <f t="shared" si="20"/>
        <v>31</v>
      </c>
      <c r="F284" s="229" t="str">
        <f>IFERROR(_xlfn.XLOOKUP($A284,'Raw Data'!$A:$A,'Raw Data'!$BR:$BR),"")</f>
        <v/>
      </c>
      <c r="G284" s="230" t="str">
        <f>IFERROR(_xlfn.XLOOKUP($A284,'Raw Data'!$A:$A,'Raw Data'!$AO:$AO),"")</f>
        <v/>
      </c>
      <c r="H284" s="230"/>
      <c r="I284" s="230" t="str">
        <f>IFERROR(_xlfn.XLOOKUP($A284,'Raw Data'!$A:$A,'Raw Data'!$AR:$AR),"")</f>
        <v/>
      </c>
      <c r="J284" s="230"/>
      <c r="K284" s="230" t="str">
        <f>IFERROR(_xlfn.XLOOKUP($A284,'Raw Data'!$A:$A,'Raw Data'!$AV:$AV),"")</f>
        <v/>
      </c>
      <c r="L284" s="230" t="str">
        <f>IFERROR(_xlfn.XLOOKUP($A284,'Raw Data'!$A:$A,'Raw Data'!$AW:$AW),"")</f>
        <v/>
      </c>
      <c r="M284" s="230" t="str">
        <f>IFERROR(_xlfn.XLOOKUP($A284,'Raw Data'!$A:$A,'Raw Data'!$AX:$AX),"")</f>
        <v/>
      </c>
      <c r="N284" s="230" t="str">
        <f>IFERROR(_xlfn.XLOOKUP($A284,'Raw Data'!$A:$A,'Raw Data'!$AY:$AY),"")</f>
        <v/>
      </c>
      <c r="O284" s="231" t="str">
        <f>IFERROR(1-(SUMIF('Plant BD'!$B:$B,A284,'Plant BD'!$AE:$AE)/(AA284+SUMIF('Plant BD'!$B:$B,A284,'Plant BD'!$AE:$AE))),"")</f>
        <v/>
      </c>
      <c r="P284" s="231"/>
      <c r="Q284" s="232"/>
      <c r="R284" s="231" t="str">
        <f>IFERROR(1-(SUMIF('Grid BD'!$B:$B,$A284,'Grid BD'!$AD:$AD)/($AA284+SUMIF('Grid BD'!$B:$B,$A284,'Grid BD'!AD:AD))),"")</f>
        <v/>
      </c>
      <c r="S284" s="6"/>
      <c r="T284" s="232"/>
      <c r="U284" s="233" t="str">
        <f t="shared" si="21"/>
        <v/>
      </c>
      <c r="V284" s="233"/>
      <c r="W284" s="234" t="str">
        <f t="shared" si="19"/>
        <v/>
      </c>
      <c r="X284" s="227" t="str">
        <f>IFERROR(_xlfn.XLOOKUP($A284,'Raw Data'!$A:$A,'Raw Data'!$BA:$BA),"")</f>
        <v/>
      </c>
      <c r="Y284" s="227" t="str">
        <f>IFERROR(_xlfn.XLOOKUP($A284,'Raw Data'!$A:$A,'Raw Data'!BJ:BJ),"")</f>
        <v/>
      </c>
      <c r="Z284" s="227" t="str">
        <f>IFERROR(_xlfn.XLOOKUP($A284,'Raw Data'!$A:$A,'Raw Data'!BK:BK),"")</f>
        <v/>
      </c>
      <c r="AA284" s="227" t="str">
        <f>IFERROR(_xlfn.XLOOKUP($A284,'Raw Data'!$A:$A,'Raw Data'!BL:BL),"")</f>
        <v/>
      </c>
      <c r="AB284" s="227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27">
        <f>IFERROR(_xlfn.XLOOKUP($D284,'Modelling New'!$D:$D,'Modelling New'!$T:$T)*1000,"")</f>
        <v>114636.64210349345</v>
      </c>
      <c r="AE284" s="234">
        <f>IFERROR(_xlfn.XLOOKUP($D284,'Modelling New'!$D:$D,'Modelling New'!$O:$O),"")</f>
        <v>0.69465853509305142</v>
      </c>
      <c r="AF284" s="234">
        <f>IFERROR(_xlfn.XLOOKUP($D284,'Modelling New'!$D:$D,'Modelling New'!$W:$W),"")</f>
        <v>0.19653981402834317</v>
      </c>
      <c r="AG284" s="234">
        <f>IFERROR(_xlfn.XLOOKUP($D284,'Modelling New'!$D:$D,'Modelling New'!AE:AE),"")</f>
        <v>0.995</v>
      </c>
      <c r="AH284" s="234">
        <v>0.99750000000000005</v>
      </c>
      <c r="AI284" s="6"/>
      <c r="AJ284" s="6"/>
      <c r="AK284" s="6"/>
      <c r="AL284" s="6"/>
      <c r="AM284" s="6"/>
      <c r="AN284" s="231"/>
      <c r="AO284" s="234"/>
      <c r="AP284" s="234"/>
      <c r="AQ284" s="234"/>
      <c r="AR284" s="227">
        <f>IFERROR(_xlfn.XLOOKUP($D284,'Modelling New'!$D:$D,'Modelling New'!$N:$N),"")</f>
        <v>24.303100000000001</v>
      </c>
      <c r="AS284" s="227"/>
    </row>
    <row r="285" spans="1:45" x14ac:dyDescent="0.35">
      <c r="A285" s="226">
        <f t="shared" si="22"/>
        <v>46028</v>
      </c>
      <c r="B285" s="227">
        <f>YEAR(Daily_KPI[[#This Row],[Date]])+IF(MONTH(Daily_KPI[[#This Row],[Date]])&gt;=4,1,0)</f>
        <v>2026</v>
      </c>
      <c r="C285" s="6">
        <f>YEAR(Daily_KPI[[#This Row],[Date]])</f>
        <v>2026</v>
      </c>
      <c r="D285" s="228">
        <f>Daily_KPI[[#This Row],[Date]]-DAY(Daily_KPI[[#This Row],[Date]])+1</f>
        <v>46023</v>
      </c>
      <c r="E285" s="6">
        <f t="shared" si="20"/>
        <v>31</v>
      </c>
      <c r="F285" s="229" t="str">
        <f>IFERROR(_xlfn.XLOOKUP($A285,'Raw Data'!$A:$A,'Raw Data'!$BR:$BR),"")</f>
        <v/>
      </c>
      <c r="G285" s="230" t="str">
        <f>IFERROR(_xlfn.XLOOKUP($A285,'Raw Data'!$A:$A,'Raw Data'!$AO:$AO),"")</f>
        <v/>
      </c>
      <c r="H285" s="230"/>
      <c r="I285" s="230" t="str">
        <f>IFERROR(_xlfn.XLOOKUP($A285,'Raw Data'!$A:$A,'Raw Data'!$AR:$AR),"")</f>
        <v/>
      </c>
      <c r="J285" s="230"/>
      <c r="K285" s="230" t="str">
        <f>IFERROR(_xlfn.XLOOKUP($A285,'Raw Data'!$A:$A,'Raw Data'!$AV:$AV),"")</f>
        <v/>
      </c>
      <c r="L285" s="230" t="str">
        <f>IFERROR(_xlfn.XLOOKUP($A285,'Raw Data'!$A:$A,'Raw Data'!$AW:$AW),"")</f>
        <v/>
      </c>
      <c r="M285" s="230" t="str">
        <f>IFERROR(_xlfn.XLOOKUP($A285,'Raw Data'!$A:$A,'Raw Data'!$AX:$AX),"")</f>
        <v/>
      </c>
      <c r="N285" s="230" t="str">
        <f>IFERROR(_xlfn.XLOOKUP($A285,'Raw Data'!$A:$A,'Raw Data'!$AY:$AY),"")</f>
        <v/>
      </c>
      <c r="O285" s="231" t="str">
        <f>IFERROR(1-(SUMIF('Plant BD'!$B:$B,A285,'Plant BD'!$AE:$AE)/(AA285+SUMIF('Plant BD'!$B:$B,A285,'Plant BD'!$AE:$AE))),"")</f>
        <v/>
      </c>
      <c r="P285" s="231"/>
      <c r="Q285" s="232"/>
      <c r="R285" s="231" t="str">
        <f>IFERROR(1-(SUMIF('Grid BD'!$B:$B,$A285,'Grid BD'!$AD:$AD)/($AA285+SUMIF('Grid BD'!$B:$B,$A285,'Grid BD'!AD:AD))),"")</f>
        <v/>
      </c>
      <c r="S285" s="6"/>
      <c r="T285" s="232"/>
      <c r="U285" s="233" t="str">
        <f t="shared" si="21"/>
        <v/>
      </c>
      <c r="V285" s="233"/>
      <c r="W285" s="234" t="str">
        <f t="shared" si="19"/>
        <v/>
      </c>
      <c r="X285" s="227" t="str">
        <f>IFERROR(_xlfn.XLOOKUP($A285,'Raw Data'!$A:$A,'Raw Data'!$BA:$BA),"")</f>
        <v/>
      </c>
      <c r="Y285" s="227" t="str">
        <f>IFERROR(_xlfn.XLOOKUP($A285,'Raw Data'!$A:$A,'Raw Data'!BJ:BJ),"")</f>
        <v/>
      </c>
      <c r="Z285" s="227" t="str">
        <f>IFERROR(_xlfn.XLOOKUP($A285,'Raw Data'!$A:$A,'Raw Data'!BK:BK),"")</f>
        <v/>
      </c>
      <c r="AA285" s="227" t="str">
        <f>IFERROR(_xlfn.XLOOKUP($A285,'Raw Data'!$A:$A,'Raw Data'!BL:BL),"")</f>
        <v/>
      </c>
      <c r="AB285" s="227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27">
        <f>IFERROR(_xlfn.XLOOKUP($D285,'Modelling New'!$D:$D,'Modelling New'!$T:$T)*1000,"")</f>
        <v>114636.64210349345</v>
      </c>
      <c r="AE285" s="234">
        <f>IFERROR(_xlfn.XLOOKUP($D285,'Modelling New'!$D:$D,'Modelling New'!$O:$O),"")</f>
        <v>0.69465853509305142</v>
      </c>
      <c r="AF285" s="234">
        <f>IFERROR(_xlfn.XLOOKUP($D285,'Modelling New'!$D:$D,'Modelling New'!$W:$W),"")</f>
        <v>0.19653981402834317</v>
      </c>
      <c r="AG285" s="234">
        <f>IFERROR(_xlfn.XLOOKUP($D285,'Modelling New'!$D:$D,'Modelling New'!AE:AE),"")</f>
        <v>0.995</v>
      </c>
      <c r="AH285" s="234">
        <v>0.99750000000000005</v>
      </c>
      <c r="AI285" s="6"/>
      <c r="AJ285" s="6"/>
      <c r="AK285" s="6"/>
      <c r="AL285" s="6"/>
      <c r="AM285" s="6"/>
      <c r="AN285" s="231"/>
      <c r="AO285" s="234"/>
      <c r="AP285" s="234"/>
      <c r="AQ285" s="234"/>
      <c r="AR285" s="227">
        <f>IFERROR(_xlfn.XLOOKUP($D285,'Modelling New'!$D:$D,'Modelling New'!$N:$N),"")</f>
        <v>24.303100000000001</v>
      </c>
      <c r="AS285" s="227"/>
    </row>
    <row r="286" spans="1:45" x14ac:dyDescent="0.35">
      <c r="A286" s="226">
        <f t="shared" si="22"/>
        <v>46029</v>
      </c>
      <c r="B286" s="227">
        <f>YEAR(Daily_KPI[[#This Row],[Date]])+IF(MONTH(Daily_KPI[[#This Row],[Date]])&gt;=4,1,0)</f>
        <v>2026</v>
      </c>
      <c r="C286" s="6">
        <f>YEAR(Daily_KPI[[#This Row],[Date]])</f>
        <v>2026</v>
      </c>
      <c r="D286" s="228">
        <f>Daily_KPI[[#This Row],[Date]]-DAY(Daily_KPI[[#This Row],[Date]])+1</f>
        <v>46023</v>
      </c>
      <c r="E286" s="6">
        <f t="shared" si="20"/>
        <v>31</v>
      </c>
      <c r="F286" s="229" t="str">
        <f>IFERROR(_xlfn.XLOOKUP($A286,'Raw Data'!$A:$A,'Raw Data'!$BR:$BR),"")</f>
        <v/>
      </c>
      <c r="G286" s="230" t="str">
        <f>IFERROR(_xlfn.XLOOKUP($A286,'Raw Data'!$A:$A,'Raw Data'!$AO:$AO),"")</f>
        <v/>
      </c>
      <c r="H286" s="230"/>
      <c r="I286" s="230" t="str">
        <f>IFERROR(_xlfn.XLOOKUP($A286,'Raw Data'!$A:$A,'Raw Data'!$AR:$AR),"")</f>
        <v/>
      </c>
      <c r="J286" s="230"/>
      <c r="K286" s="230" t="str">
        <f>IFERROR(_xlfn.XLOOKUP($A286,'Raw Data'!$A:$A,'Raw Data'!$AV:$AV),"")</f>
        <v/>
      </c>
      <c r="L286" s="230" t="str">
        <f>IFERROR(_xlfn.XLOOKUP($A286,'Raw Data'!$A:$A,'Raw Data'!$AW:$AW),"")</f>
        <v/>
      </c>
      <c r="M286" s="230" t="str">
        <f>IFERROR(_xlfn.XLOOKUP($A286,'Raw Data'!$A:$A,'Raw Data'!$AX:$AX),"")</f>
        <v/>
      </c>
      <c r="N286" s="230" t="str">
        <f>IFERROR(_xlfn.XLOOKUP($A286,'Raw Data'!$A:$A,'Raw Data'!$AY:$AY),"")</f>
        <v/>
      </c>
      <c r="O286" s="231" t="str">
        <f>IFERROR(1-(SUMIF('Plant BD'!$B:$B,A286,'Plant BD'!$AE:$AE)/(AA286+SUMIF('Plant BD'!$B:$B,A286,'Plant BD'!$AE:$AE))),"")</f>
        <v/>
      </c>
      <c r="P286" s="231"/>
      <c r="Q286" s="232"/>
      <c r="R286" s="231" t="str">
        <f>IFERROR(1-(SUMIF('Grid BD'!$B:$B,$A286,'Grid BD'!$AD:$AD)/($AA286+SUMIF('Grid BD'!$B:$B,$A286,'Grid BD'!AD:AD))),"")</f>
        <v/>
      </c>
      <c r="S286" s="6"/>
      <c r="T286" s="232"/>
      <c r="U286" s="233" t="str">
        <f t="shared" si="21"/>
        <v/>
      </c>
      <c r="V286" s="233"/>
      <c r="W286" s="234" t="str">
        <f t="shared" si="19"/>
        <v/>
      </c>
      <c r="X286" s="227" t="str">
        <f>IFERROR(_xlfn.XLOOKUP($A286,'Raw Data'!$A:$A,'Raw Data'!$BA:$BA),"")</f>
        <v/>
      </c>
      <c r="Y286" s="227" t="str">
        <f>IFERROR(_xlfn.XLOOKUP($A286,'Raw Data'!$A:$A,'Raw Data'!BJ:BJ),"")</f>
        <v/>
      </c>
      <c r="Z286" s="227" t="str">
        <f>IFERROR(_xlfn.XLOOKUP($A286,'Raw Data'!$A:$A,'Raw Data'!BK:BK),"")</f>
        <v/>
      </c>
      <c r="AA286" s="227" t="str">
        <f>IFERROR(_xlfn.XLOOKUP($A286,'Raw Data'!$A:$A,'Raw Data'!BL:BL),"")</f>
        <v/>
      </c>
      <c r="AB286" s="227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27">
        <f>IFERROR(_xlfn.XLOOKUP($D286,'Modelling New'!$D:$D,'Modelling New'!$T:$T)*1000,"")</f>
        <v>114636.64210349345</v>
      </c>
      <c r="AE286" s="234">
        <f>IFERROR(_xlfn.XLOOKUP($D286,'Modelling New'!$D:$D,'Modelling New'!$O:$O),"")</f>
        <v>0.69465853509305142</v>
      </c>
      <c r="AF286" s="234">
        <f>IFERROR(_xlfn.XLOOKUP($D286,'Modelling New'!$D:$D,'Modelling New'!$W:$W),"")</f>
        <v>0.19653981402834317</v>
      </c>
      <c r="AG286" s="234">
        <f>IFERROR(_xlfn.XLOOKUP($D286,'Modelling New'!$D:$D,'Modelling New'!AE:AE),"")</f>
        <v>0.995</v>
      </c>
      <c r="AH286" s="234">
        <v>0.99750000000000005</v>
      </c>
      <c r="AI286" s="6"/>
      <c r="AJ286" s="6"/>
      <c r="AK286" s="6"/>
      <c r="AL286" s="6"/>
      <c r="AM286" s="6"/>
      <c r="AN286" s="231"/>
      <c r="AO286" s="234"/>
      <c r="AP286" s="234"/>
      <c r="AQ286" s="234"/>
      <c r="AR286" s="227">
        <f>IFERROR(_xlfn.XLOOKUP($D286,'Modelling New'!$D:$D,'Modelling New'!$N:$N),"")</f>
        <v>24.303100000000001</v>
      </c>
      <c r="AS286" s="227"/>
    </row>
    <row r="287" spans="1:45" x14ac:dyDescent="0.35">
      <c r="A287" s="226">
        <f t="shared" si="22"/>
        <v>46030</v>
      </c>
      <c r="B287" s="227">
        <f>YEAR(Daily_KPI[[#This Row],[Date]])+IF(MONTH(Daily_KPI[[#This Row],[Date]])&gt;=4,1,0)</f>
        <v>2026</v>
      </c>
      <c r="C287" s="6">
        <f>YEAR(Daily_KPI[[#This Row],[Date]])</f>
        <v>2026</v>
      </c>
      <c r="D287" s="228">
        <f>Daily_KPI[[#This Row],[Date]]-DAY(Daily_KPI[[#This Row],[Date]])+1</f>
        <v>46023</v>
      </c>
      <c r="E287" s="6">
        <f t="shared" si="20"/>
        <v>31</v>
      </c>
      <c r="F287" s="229" t="str">
        <f>IFERROR(_xlfn.XLOOKUP($A287,'Raw Data'!$A:$A,'Raw Data'!$BR:$BR),"")</f>
        <v/>
      </c>
      <c r="G287" s="230" t="str">
        <f>IFERROR(_xlfn.XLOOKUP($A287,'Raw Data'!$A:$A,'Raw Data'!$AO:$AO),"")</f>
        <v/>
      </c>
      <c r="H287" s="230"/>
      <c r="I287" s="230" t="str">
        <f>IFERROR(_xlfn.XLOOKUP($A287,'Raw Data'!$A:$A,'Raw Data'!$AR:$AR),"")</f>
        <v/>
      </c>
      <c r="J287" s="230"/>
      <c r="K287" s="230" t="str">
        <f>IFERROR(_xlfn.XLOOKUP($A287,'Raw Data'!$A:$A,'Raw Data'!$AV:$AV),"")</f>
        <v/>
      </c>
      <c r="L287" s="230" t="str">
        <f>IFERROR(_xlfn.XLOOKUP($A287,'Raw Data'!$A:$A,'Raw Data'!$AW:$AW),"")</f>
        <v/>
      </c>
      <c r="M287" s="230" t="str">
        <f>IFERROR(_xlfn.XLOOKUP($A287,'Raw Data'!$A:$A,'Raw Data'!$AX:$AX),"")</f>
        <v/>
      </c>
      <c r="N287" s="230" t="str">
        <f>IFERROR(_xlfn.XLOOKUP($A287,'Raw Data'!$A:$A,'Raw Data'!$AY:$AY),"")</f>
        <v/>
      </c>
      <c r="O287" s="231" t="str">
        <f>IFERROR(1-(SUMIF('Plant BD'!$B:$B,A287,'Plant BD'!$AE:$AE)/(AA287+SUMIF('Plant BD'!$B:$B,A287,'Plant BD'!$AE:$AE))),"")</f>
        <v/>
      </c>
      <c r="P287" s="231"/>
      <c r="Q287" s="232"/>
      <c r="R287" s="231" t="str">
        <f>IFERROR(1-(SUMIF('Grid BD'!$B:$B,$A287,'Grid BD'!$AD:$AD)/($AA287+SUMIF('Grid BD'!$B:$B,$A287,'Grid BD'!AD:AD))),"")</f>
        <v/>
      </c>
      <c r="S287" s="6"/>
      <c r="T287" s="232"/>
      <c r="U287" s="233" t="str">
        <f t="shared" si="21"/>
        <v/>
      </c>
      <c r="V287" s="233"/>
      <c r="W287" s="234" t="str">
        <f t="shared" si="19"/>
        <v/>
      </c>
      <c r="X287" s="227" t="str">
        <f>IFERROR(_xlfn.XLOOKUP($A287,'Raw Data'!$A:$A,'Raw Data'!$BA:$BA),"")</f>
        <v/>
      </c>
      <c r="Y287" s="227" t="str">
        <f>IFERROR(_xlfn.XLOOKUP($A287,'Raw Data'!$A:$A,'Raw Data'!BJ:BJ),"")</f>
        <v/>
      </c>
      <c r="Z287" s="227" t="str">
        <f>IFERROR(_xlfn.XLOOKUP($A287,'Raw Data'!$A:$A,'Raw Data'!BK:BK),"")</f>
        <v/>
      </c>
      <c r="AA287" s="227" t="str">
        <f>IFERROR(_xlfn.XLOOKUP($A287,'Raw Data'!$A:$A,'Raw Data'!BL:BL),"")</f>
        <v/>
      </c>
      <c r="AB287" s="227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27">
        <f>IFERROR(_xlfn.XLOOKUP($D287,'Modelling New'!$D:$D,'Modelling New'!$T:$T)*1000,"")</f>
        <v>114636.64210349345</v>
      </c>
      <c r="AE287" s="234">
        <f>IFERROR(_xlfn.XLOOKUP($D287,'Modelling New'!$D:$D,'Modelling New'!$O:$O),"")</f>
        <v>0.69465853509305142</v>
      </c>
      <c r="AF287" s="234">
        <f>IFERROR(_xlfn.XLOOKUP($D287,'Modelling New'!$D:$D,'Modelling New'!$W:$W),"")</f>
        <v>0.19653981402834317</v>
      </c>
      <c r="AG287" s="234">
        <f>IFERROR(_xlfn.XLOOKUP($D287,'Modelling New'!$D:$D,'Modelling New'!AE:AE),"")</f>
        <v>0.995</v>
      </c>
      <c r="AH287" s="234">
        <v>0.99750000000000005</v>
      </c>
      <c r="AI287" s="6"/>
      <c r="AJ287" s="6"/>
      <c r="AK287" s="6"/>
      <c r="AL287" s="6"/>
      <c r="AM287" s="6"/>
      <c r="AN287" s="231"/>
      <c r="AO287" s="234"/>
      <c r="AP287" s="234"/>
      <c r="AQ287" s="234"/>
      <c r="AR287" s="227">
        <f>IFERROR(_xlfn.XLOOKUP($D287,'Modelling New'!$D:$D,'Modelling New'!$N:$N),"")</f>
        <v>24.303100000000001</v>
      </c>
      <c r="AS287" s="227"/>
    </row>
    <row r="288" spans="1:45" x14ac:dyDescent="0.35">
      <c r="A288" s="226">
        <f t="shared" si="22"/>
        <v>46031</v>
      </c>
      <c r="B288" s="227">
        <f>YEAR(Daily_KPI[[#This Row],[Date]])+IF(MONTH(Daily_KPI[[#This Row],[Date]])&gt;=4,1,0)</f>
        <v>2026</v>
      </c>
      <c r="C288" s="6">
        <f>YEAR(Daily_KPI[[#This Row],[Date]])</f>
        <v>2026</v>
      </c>
      <c r="D288" s="228">
        <f>Daily_KPI[[#This Row],[Date]]-DAY(Daily_KPI[[#This Row],[Date]])+1</f>
        <v>46023</v>
      </c>
      <c r="E288" s="6">
        <f t="shared" si="20"/>
        <v>31</v>
      </c>
      <c r="F288" s="229" t="str">
        <f>IFERROR(_xlfn.XLOOKUP($A288,'Raw Data'!$A:$A,'Raw Data'!$BR:$BR),"")</f>
        <v/>
      </c>
      <c r="G288" s="230" t="str">
        <f>IFERROR(_xlfn.XLOOKUP($A288,'Raw Data'!$A:$A,'Raw Data'!$AO:$AO),"")</f>
        <v/>
      </c>
      <c r="H288" s="230"/>
      <c r="I288" s="230" t="str">
        <f>IFERROR(_xlfn.XLOOKUP($A288,'Raw Data'!$A:$A,'Raw Data'!$AR:$AR),"")</f>
        <v/>
      </c>
      <c r="J288" s="230"/>
      <c r="K288" s="230" t="str">
        <f>IFERROR(_xlfn.XLOOKUP($A288,'Raw Data'!$A:$A,'Raw Data'!$AV:$AV),"")</f>
        <v/>
      </c>
      <c r="L288" s="230" t="str">
        <f>IFERROR(_xlfn.XLOOKUP($A288,'Raw Data'!$A:$A,'Raw Data'!$AW:$AW),"")</f>
        <v/>
      </c>
      <c r="M288" s="230" t="str">
        <f>IFERROR(_xlfn.XLOOKUP($A288,'Raw Data'!$A:$A,'Raw Data'!$AX:$AX),"")</f>
        <v/>
      </c>
      <c r="N288" s="230" t="str">
        <f>IFERROR(_xlfn.XLOOKUP($A288,'Raw Data'!$A:$A,'Raw Data'!$AY:$AY),"")</f>
        <v/>
      </c>
      <c r="O288" s="231" t="str">
        <f>IFERROR(1-(SUMIF('Plant BD'!$B:$B,A288,'Plant BD'!$AE:$AE)/(AA288+SUMIF('Plant BD'!$B:$B,A288,'Plant BD'!$AE:$AE))),"")</f>
        <v/>
      </c>
      <c r="P288" s="231"/>
      <c r="Q288" s="232"/>
      <c r="R288" s="231" t="str">
        <f>IFERROR(1-(SUMIF('Grid BD'!$B:$B,$A288,'Grid BD'!$AD:$AD)/($AA288+SUMIF('Grid BD'!$B:$B,$A288,'Grid BD'!AD:AD))),"")</f>
        <v/>
      </c>
      <c r="S288" s="6"/>
      <c r="T288" s="232"/>
      <c r="U288" s="233" t="str">
        <f t="shared" si="21"/>
        <v/>
      </c>
      <c r="V288" s="233"/>
      <c r="W288" s="234" t="str">
        <f t="shared" si="19"/>
        <v/>
      </c>
      <c r="X288" s="227" t="str">
        <f>IFERROR(_xlfn.XLOOKUP($A288,'Raw Data'!$A:$A,'Raw Data'!$BA:$BA),"")</f>
        <v/>
      </c>
      <c r="Y288" s="227" t="str">
        <f>IFERROR(_xlfn.XLOOKUP($A288,'Raw Data'!$A:$A,'Raw Data'!BJ:BJ),"")</f>
        <v/>
      </c>
      <c r="Z288" s="227" t="str">
        <f>IFERROR(_xlfn.XLOOKUP($A288,'Raw Data'!$A:$A,'Raw Data'!BK:BK),"")</f>
        <v/>
      </c>
      <c r="AA288" s="227" t="str">
        <f>IFERROR(_xlfn.XLOOKUP($A288,'Raw Data'!$A:$A,'Raw Data'!BL:BL),"")</f>
        <v/>
      </c>
      <c r="AB288" s="227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27">
        <f>IFERROR(_xlfn.XLOOKUP($D288,'Modelling New'!$D:$D,'Modelling New'!$T:$T)*1000,"")</f>
        <v>114636.64210349345</v>
      </c>
      <c r="AE288" s="234">
        <f>IFERROR(_xlfn.XLOOKUP($D288,'Modelling New'!$D:$D,'Modelling New'!$O:$O),"")</f>
        <v>0.69465853509305142</v>
      </c>
      <c r="AF288" s="234">
        <f>IFERROR(_xlfn.XLOOKUP($D288,'Modelling New'!$D:$D,'Modelling New'!$W:$W),"")</f>
        <v>0.19653981402834317</v>
      </c>
      <c r="AG288" s="234">
        <f>IFERROR(_xlfn.XLOOKUP($D288,'Modelling New'!$D:$D,'Modelling New'!AE:AE),"")</f>
        <v>0.995</v>
      </c>
      <c r="AH288" s="234">
        <v>0.99750000000000005</v>
      </c>
      <c r="AI288" s="6"/>
      <c r="AJ288" s="6"/>
      <c r="AK288" s="6"/>
      <c r="AL288" s="6"/>
      <c r="AM288" s="6"/>
      <c r="AN288" s="231"/>
      <c r="AO288" s="234"/>
      <c r="AP288" s="234"/>
      <c r="AQ288" s="234"/>
      <c r="AR288" s="227">
        <f>IFERROR(_xlfn.XLOOKUP($D288,'Modelling New'!$D:$D,'Modelling New'!$N:$N),"")</f>
        <v>24.303100000000001</v>
      </c>
      <c r="AS288" s="227"/>
    </row>
    <row r="289" spans="1:45" x14ac:dyDescent="0.35">
      <c r="A289" s="226">
        <f t="shared" si="22"/>
        <v>46032</v>
      </c>
      <c r="B289" s="227">
        <f>YEAR(Daily_KPI[[#This Row],[Date]])+IF(MONTH(Daily_KPI[[#This Row],[Date]])&gt;=4,1,0)</f>
        <v>2026</v>
      </c>
      <c r="C289" s="6">
        <f>YEAR(Daily_KPI[[#This Row],[Date]])</f>
        <v>2026</v>
      </c>
      <c r="D289" s="228">
        <f>Daily_KPI[[#This Row],[Date]]-DAY(Daily_KPI[[#This Row],[Date]])+1</f>
        <v>46023</v>
      </c>
      <c r="E289" s="6">
        <f t="shared" si="20"/>
        <v>31</v>
      </c>
      <c r="F289" s="229" t="str">
        <f>IFERROR(_xlfn.XLOOKUP($A289,'Raw Data'!$A:$A,'Raw Data'!$BR:$BR),"")</f>
        <v/>
      </c>
      <c r="G289" s="230" t="str">
        <f>IFERROR(_xlfn.XLOOKUP($A289,'Raw Data'!$A:$A,'Raw Data'!$AO:$AO),"")</f>
        <v/>
      </c>
      <c r="H289" s="230"/>
      <c r="I289" s="230" t="str">
        <f>IFERROR(_xlfn.XLOOKUP($A289,'Raw Data'!$A:$A,'Raw Data'!$AR:$AR),"")</f>
        <v/>
      </c>
      <c r="J289" s="230"/>
      <c r="K289" s="230" t="str">
        <f>IFERROR(_xlfn.XLOOKUP($A289,'Raw Data'!$A:$A,'Raw Data'!$AV:$AV),"")</f>
        <v/>
      </c>
      <c r="L289" s="230" t="str">
        <f>IFERROR(_xlfn.XLOOKUP($A289,'Raw Data'!$A:$A,'Raw Data'!$AW:$AW),"")</f>
        <v/>
      </c>
      <c r="M289" s="230" t="str">
        <f>IFERROR(_xlfn.XLOOKUP($A289,'Raw Data'!$A:$A,'Raw Data'!$AX:$AX),"")</f>
        <v/>
      </c>
      <c r="N289" s="230" t="str">
        <f>IFERROR(_xlfn.XLOOKUP($A289,'Raw Data'!$A:$A,'Raw Data'!$AY:$AY),"")</f>
        <v/>
      </c>
      <c r="O289" s="231" t="str">
        <f>IFERROR(1-(SUMIF('Plant BD'!$B:$B,A289,'Plant BD'!$AE:$AE)/(AA289+SUMIF('Plant BD'!$B:$B,A289,'Plant BD'!$AE:$AE))),"")</f>
        <v/>
      </c>
      <c r="P289" s="231"/>
      <c r="Q289" s="232"/>
      <c r="R289" s="231" t="str">
        <f>IFERROR(1-(SUMIF('Grid BD'!$B:$B,$A289,'Grid BD'!$AD:$AD)/($AA289+SUMIF('Grid BD'!$B:$B,$A289,'Grid BD'!AD:AD))),"")</f>
        <v/>
      </c>
      <c r="S289" s="6"/>
      <c r="T289" s="232"/>
      <c r="U289" s="233" t="str">
        <f t="shared" si="21"/>
        <v/>
      </c>
      <c r="V289" s="233"/>
      <c r="W289" s="234" t="str">
        <f t="shared" si="19"/>
        <v/>
      </c>
      <c r="X289" s="227" t="str">
        <f>IFERROR(_xlfn.XLOOKUP($A289,'Raw Data'!$A:$A,'Raw Data'!$BA:$BA),"")</f>
        <v/>
      </c>
      <c r="Y289" s="227" t="str">
        <f>IFERROR(_xlfn.XLOOKUP($A289,'Raw Data'!$A:$A,'Raw Data'!BJ:BJ),"")</f>
        <v/>
      </c>
      <c r="Z289" s="227" t="str">
        <f>IFERROR(_xlfn.XLOOKUP($A289,'Raw Data'!$A:$A,'Raw Data'!BK:BK),"")</f>
        <v/>
      </c>
      <c r="AA289" s="227" t="str">
        <f>IFERROR(_xlfn.XLOOKUP($A289,'Raw Data'!$A:$A,'Raw Data'!BL:BL),"")</f>
        <v/>
      </c>
      <c r="AB289" s="227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27">
        <f>IFERROR(_xlfn.XLOOKUP($D289,'Modelling New'!$D:$D,'Modelling New'!$T:$T)*1000,"")</f>
        <v>114636.64210349345</v>
      </c>
      <c r="AE289" s="234">
        <f>IFERROR(_xlfn.XLOOKUP($D289,'Modelling New'!$D:$D,'Modelling New'!$O:$O),"")</f>
        <v>0.69465853509305142</v>
      </c>
      <c r="AF289" s="234">
        <f>IFERROR(_xlfn.XLOOKUP($D289,'Modelling New'!$D:$D,'Modelling New'!$W:$W),"")</f>
        <v>0.19653981402834317</v>
      </c>
      <c r="AG289" s="234">
        <f>IFERROR(_xlfn.XLOOKUP($D289,'Modelling New'!$D:$D,'Modelling New'!AE:AE),"")</f>
        <v>0.995</v>
      </c>
      <c r="AH289" s="234">
        <v>0.99750000000000005</v>
      </c>
      <c r="AI289" s="6"/>
      <c r="AJ289" s="6"/>
      <c r="AK289" s="6"/>
      <c r="AL289" s="6"/>
      <c r="AM289" s="6"/>
      <c r="AN289" s="231"/>
      <c r="AO289" s="234"/>
      <c r="AP289" s="234"/>
      <c r="AQ289" s="234"/>
      <c r="AR289" s="227">
        <f>IFERROR(_xlfn.XLOOKUP($D289,'Modelling New'!$D:$D,'Modelling New'!$N:$N),"")</f>
        <v>24.303100000000001</v>
      </c>
      <c r="AS289" s="227"/>
    </row>
    <row r="290" spans="1:45" x14ac:dyDescent="0.35">
      <c r="A290" s="226">
        <f t="shared" si="22"/>
        <v>46033</v>
      </c>
      <c r="B290" s="227">
        <f>YEAR(Daily_KPI[[#This Row],[Date]])+IF(MONTH(Daily_KPI[[#This Row],[Date]])&gt;=4,1,0)</f>
        <v>2026</v>
      </c>
      <c r="C290" s="6">
        <f>YEAR(Daily_KPI[[#This Row],[Date]])</f>
        <v>2026</v>
      </c>
      <c r="D290" s="228">
        <f>Daily_KPI[[#This Row],[Date]]-DAY(Daily_KPI[[#This Row],[Date]])+1</f>
        <v>46023</v>
      </c>
      <c r="E290" s="6">
        <f t="shared" si="20"/>
        <v>31</v>
      </c>
      <c r="F290" s="229" t="str">
        <f>IFERROR(_xlfn.XLOOKUP($A290,'Raw Data'!$A:$A,'Raw Data'!$BR:$BR),"")</f>
        <v/>
      </c>
      <c r="G290" s="230" t="str">
        <f>IFERROR(_xlfn.XLOOKUP($A290,'Raw Data'!$A:$A,'Raw Data'!$AO:$AO),"")</f>
        <v/>
      </c>
      <c r="H290" s="230"/>
      <c r="I290" s="230" t="str">
        <f>IFERROR(_xlfn.XLOOKUP($A290,'Raw Data'!$A:$A,'Raw Data'!$AR:$AR),"")</f>
        <v/>
      </c>
      <c r="J290" s="230"/>
      <c r="K290" s="230" t="str">
        <f>IFERROR(_xlfn.XLOOKUP($A290,'Raw Data'!$A:$A,'Raw Data'!$AV:$AV),"")</f>
        <v/>
      </c>
      <c r="L290" s="230" t="str">
        <f>IFERROR(_xlfn.XLOOKUP($A290,'Raw Data'!$A:$A,'Raw Data'!$AW:$AW),"")</f>
        <v/>
      </c>
      <c r="M290" s="230" t="str">
        <f>IFERROR(_xlfn.XLOOKUP($A290,'Raw Data'!$A:$A,'Raw Data'!$AX:$AX),"")</f>
        <v/>
      </c>
      <c r="N290" s="230" t="str">
        <f>IFERROR(_xlfn.XLOOKUP($A290,'Raw Data'!$A:$A,'Raw Data'!$AY:$AY),"")</f>
        <v/>
      </c>
      <c r="O290" s="231" t="str">
        <f>IFERROR(1-(SUMIF('Plant BD'!$B:$B,A290,'Plant BD'!$AE:$AE)/(AA290+SUMIF('Plant BD'!$B:$B,A290,'Plant BD'!$AE:$AE))),"")</f>
        <v/>
      </c>
      <c r="P290" s="231"/>
      <c r="Q290" s="232"/>
      <c r="R290" s="231" t="str">
        <f>IFERROR(1-(SUMIF('Grid BD'!$B:$B,$A290,'Grid BD'!$AD:$AD)/($AA290+SUMIF('Grid BD'!$B:$B,$A290,'Grid BD'!AD:AD))),"")</f>
        <v/>
      </c>
      <c r="S290" s="6"/>
      <c r="T290" s="232"/>
      <c r="U290" s="233" t="str">
        <f t="shared" si="21"/>
        <v/>
      </c>
      <c r="V290" s="233"/>
      <c r="W290" s="234" t="str">
        <f t="shared" si="19"/>
        <v/>
      </c>
      <c r="X290" s="227" t="str">
        <f>IFERROR(_xlfn.XLOOKUP($A290,'Raw Data'!$A:$A,'Raw Data'!$BA:$BA),"")</f>
        <v/>
      </c>
      <c r="Y290" s="227" t="str">
        <f>IFERROR(_xlfn.XLOOKUP($A290,'Raw Data'!$A:$A,'Raw Data'!BJ:BJ),"")</f>
        <v/>
      </c>
      <c r="Z290" s="227" t="str">
        <f>IFERROR(_xlfn.XLOOKUP($A290,'Raw Data'!$A:$A,'Raw Data'!BK:BK),"")</f>
        <v/>
      </c>
      <c r="AA290" s="227" t="str">
        <f>IFERROR(_xlfn.XLOOKUP($A290,'Raw Data'!$A:$A,'Raw Data'!BL:BL),"")</f>
        <v/>
      </c>
      <c r="AB290" s="227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27">
        <f>IFERROR(_xlfn.XLOOKUP($D290,'Modelling New'!$D:$D,'Modelling New'!$T:$T)*1000,"")</f>
        <v>114636.64210349345</v>
      </c>
      <c r="AE290" s="234">
        <f>IFERROR(_xlfn.XLOOKUP($D290,'Modelling New'!$D:$D,'Modelling New'!$O:$O),"")</f>
        <v>0.69465853509305142</v>
      </c>
      <c r="AF290" s="234">
        <f>IFERROR(_xlfn.XLOOKUP($D290,'Modelling New'!$D:$D,'Modelling New'!$W:$W),"")</f>
        <v>0.19653981402834317</v>
      </c>
      <c r="AG290" s="234">
        <f>IFERROR(_xlfn.XLOOKUP($D290,'Modelling New'!$D:$D,'Modelling New'!AE:AE),"")</f>
        <v>0.995</v>
      </c>
      <c r="AH290" s="234">
        <v>0.99750000000000005</v>
      </c>
      <c r="AI290" s="6"/>
      <c r="AJ290" s="6"/>
      <c r="AK290" s="6"/>
      <c r="AL290" s="6"/>
      <c r="AM290" s="6"/>
      <c r="AN290" s="231"/>
      <c r="AO290" s="234"/>
      <c r="AP290" s="234"/>
      <c r="AQ290" s="234"/>
      <c r="AR290" s="227">
        <f>IFERROR(_xlfn.XLOOKUP($D290,'Modelling New'!$D:$D,'Modelling New'!$N:$N),"")</f>
        <v>24.303100000000001</v>
      </c>
      <c r="AS290" s="227"/>
    </row>
    <row r="291" spans="1:45" x14ac:dyDescent="0.35">
      <c r="A291" s="226">
        <f t="shared" si="22"/>
        <v>46034</v>
      </c>
      <c r="B291" s="227">
        <f>YEAR(Daily_KPI[[#This Row],[Date]])+IF(MONTH(Daily_KPI[[#This Row],[Date]])&gt;=4,1,0)</f>
        <v>2026</v>
      </c>
      <c r="C291" s="6">
        <f>YEAR(Daily_KPI[[#This Row],[Date]])</f>
        <v>2026</v>
      </c>
      <c r="D291" s="228">
        <f>Daily_KPI[[#This Row],[Date]]-DAY(Daily_KPI[[#This Row],[Date]])+1</f>
        <v>46023</v>
      </c>
      <c r="E291" s="6">
        <f t="shared" si="20"/>
        <v>31</v>
      </c>
      <c r="F291" s="229" t="str">
        <f>IFERROR(_xlfn.XLOOKUP($A291,'Raw Data'!$A:$A,'Raw Data'!$BR:$BR),"")</f>
        <v/>
      </c>
      <c r="G291" s="230" t="str">
        <f>IFERROR(_xlfn.XLOOKUP($A291,'Raw Data'!$A:$A,'Raw Data'!$AO:$AO),"")</f>
        <v/>
      </c>
      <c r="H291" s="230"/>
      <c r="I291" s="230" t="str">
        <f>IFERROR(_xlfn.XLOOKUP($A291,'Raw Data'!$A:$A,'Raw Data'!$AR:$AR),"")</f>
        <v/>
      </c>
      <c r="J291" s="230"/>
      <c r="K291" s="230" t="str">
        <f>IFERROR(_xlfn.XLOOKUP($A291,'Raw Data'!$A:$A,'Raw Data'!$AV:$AV),"")</f>
        <v/>
      </c>
      <c r="L291" s="230" t="str">
        <f>IFERROR(_xlfn.XLOOKUP($A291,'Raw Data'!$A:$A,'Raw Data'!$AW:$AW),"")</f>
        <v/>
      </c>
      <c r="M291" s="230" t="str">
        <f>IFERROR(_xlfn.XLOOKUP($A291,'Raw Data'!$A:$A,'Raw Data'!$AX:$AX),"")</f>
        <v/>
      </c>
      <c r="N291" s="230" t="str">
        <f>IFERROR(_xlfn.XLOOKUP($A291,'Raw Data'!$A:$A,'Raw Data'!$AY:$AY),"")</f>
        <v/>
      </c>
      <c r="O291" s="231" t="str">
        <f>IFERROR(1-(SUMIF('Plant BD'!$B:$B,A291,'Plant BD'!$AE:$AE)/(AA291+SUMIF('Plant BD'!$B:$B,A291,'Plant BD'!$AE:$AE))),"")</f>
        <v/>
      </c>
      <c r="P291" s="231"/>
      <c r="Q291" s="232"/>
      <c r="R291" s="231" t="str">
        <f>IFERROR(1-(SUMIF('Grid BD'!$B:$B,$A291,'Grid BD'!$AD:$AD)/($AA291+SUMIF('Grid BD'!$B:$B,$A291,'Grid BD'!AD:AD))),"")</f>
        <v/>
      </c>
      <c r="S291" s="6"/>
      <c r="T291" s="232"/>
      <c r="U291" s="233" t="str">
        <f t="shared" si="21"/>
        <v/>
      </c>
      <c r="V291" s="233"/>
      <c r="W291" s="234" t="str">
        <f t="shared" si="19"/>
        <v/>
      </c>
      <c r="X291" s="227" t="str">
        <f>IFERROR(_xlfn.XLOOKUP($A291,'Raw Data'!$A:$A,'Raw Data'!$BA:$BA),"")</f>
        <v/>
      </c>
      <c r="Y291" s="227" t="str">
        <f>IFERROR(_xlfn.XLOOKUP($A291,'Raw Data'!$A:$A,'Raw Data'!BJ:BJ),"")</f>
        <v/>
      </c>
      <c r="Z291" s="227" t="str">
        <f>IFERROR(_xlfn.XLOOKUP($A291,'Raw Data'!$A:$A,'Raw Data'!BK:BK),"")</f>
        <v/>
      </c>
      <c r="AA291" s="227" t="str">
        <f>IFERROR(_xlfn.XLOOKUP($A291,'Raw Data'!$A:$A,'Raw Data'!BL:BL),"")</f>
        <v/>
      </c>
      <c r="AB291" s="227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27">
        <f>IFERROR(_xlfn.XLOOKUP($D291,'Modelling New'!$D:$D,'Modelling New'!$T:$T)*1000,"")</f>
        <v>114636.64210349345</v>
      </c>
      <c r="AE291" s="234">
        <f>IFERROR(_xlfn.XLOOKUP($D291,'Modelling New'!$D:$D,'Modelling New'!$O:$O),"")</f>
        <v>0.69465853509305142</v>
      </c>
      <c r="AF291" s="234">
        <f>IFERROR(_xlfn.XLOOKUP($D291,'Modelling New'!$D:$D,'Modelling New'!$W:$W),"")</f>
        <v>0.19653981402834317</v>
      </c>
      <c r="AG291" s="234">
        <f>IFERROR(_xlfn.XLOOKUP($D291,'Modelling New'!$D:$D,'Modelling New'!AE:AE),"")</f>
        <v>0.995</v>
      </c>
      <c r="AH291" s="234">
        <v>0.99750000000000005</v>
      </c>
      <c r="AI291" s="6"/>
      <c r="AJ291" s="6"/>
      <c r="AK291" s="6"/>
      <c r="AL291" s="6"/>
      <c r="AM291" s="6"/>
      <c r="AN291" s="231"/>
      <c r="AO291" s="234"/>
      <c r="AP291" s="234"/>
      <c r="AQ291" s="234"/>
      <c r="AR291" s="227">
        <f>IFERROR(_xlfn.XLOOKUP($D291,'Modelling New'!$D:$D,'Modelling New'!$N:$N),"")</f>
        <v>24.303100000000001</v>
      </c>
      <c r="AS291" s="227"/>
    </row>
    <row r="292" spans="1:45" x14ac:dyDescent="0.35">
      <c r="A292" s="226">
        <f t="shared" si="22"/>
        <v>46035</v>
      </c>
      <c r="B292" s="227">
        <f>YEAR(Daily_KPI[[#This Row],[Date]])+IF(MONTH(Daily_KPI[[#This Row],[Date]])&gt;=4,1,0)</f>
        <v>2026</v>
      </c>
      <c r="C292" s="6">
        <f>YEAR(Daily_KPI[[#This Row],[Date]])</f>
        <v>2026</v>
      </c>
      <c r="D292" s="228">
        <f>Daily_KPI[[#This Row],[Date]]-DAY(Daily_KPI[[#This Row],[Date]])+1</f>
        <v>46023</v>
      </c>
      <c r="E292" s="6">
        <f t="shared" si="20"/>
        <v>31</v>
      </c>
      <c r="F292" s="229" t="str">
        <f>IFERROR(_xlfn.XLOOKUP($A292,'Raw Data'!$A:$A,'Raw Data'!$BR:$BR),"")</f>
        <v/>
      </c>
      <c r="G292" s="230" t="str">
        <f>IFERROR(_xlfn.XLOOKUP($A292,'Raw Data'!$A:$A,'Raw Data'!$AO:$AO),"")</f>
        <v/>
      </c>
      <c r="H292" s="230"/>
      <c r="I292" s="230" t="str">
        <f>IFERROR(_xlfn.XLOOKUP($A292,'Raw Data'!$A:$A,'Raw Data'!$AR:$AR),"")</f>
        <v/>
      </c>
      <c r="J292" s="230"/>
      <c r="K292" s="230" t="str">
        <f>IFERROR(_xlfn.XLOOKUP($A292,'Raw Data'!$A:$A,'Raw Data'!$AV:$AV),"")</f>
        <v/>
      </c>
      <c r="L292" s="230" t="str">
        <f>IFERROR(_xlfn.XLOOKUP($A292,'Raw Data'!$A:$A,'Raw Data'!$AW:$AW),"")</f>
        <v/>
      </c>
      <c r="M292" s="230" t="str">
        <f>IFERROR(_xlfn.XLOOKUP($A292,'Raw Data'!$A:$A,'Raw Data'!$AX:$AX),"")</f>
        <v/>
      </c>
      <c r="N292" s="230" t="str">
        <f>IFERROR(_xlfn.XLOOKUP($A292,'Raw Data'!$A:$A,'Raw Data'!$AY:$AY),"")</f>
        <v/>
      </c>
      <c r="O292" s="231" t="str">
        <f>IFERROR(1-(SUMIF('Plant BD'!$B:$B,A292,'Plant BD'!$AE:$AE)/(AA292+SUMIF('Plant BD'!$B:$B,A292,'Plant BD'!$AE:$AE))),"")</f>
        <v/>
      </c>
      <c r="P292" s="231"/>
      <c r="Q292" s="232"/>
      <c r="R292" s="231" t="str">
        <f>IFERROR(1-(SUMIF('Grid BD'!$B:$B,$A292,'Grid BD'!$AD:$AD)/($AA292+SUMIF('Grid BD'!$B:$B,$A292,'Grid BD'!AD:AD))),"")</f>
        <v/>
      </c>
      <c r="S292" s="6"/>
      <c r="T292" s="232"/>
      <c r="U292" s="233" t="str">
        <f t="shared" si="21"/>
        <v/>
      </c>
      <c r="V292" s="233"/>
      <c r="W292" s="234" t="str">
        <f t="shared" si="19"/>
        <v/>
      </c>
      <c r="X292" s="227" t="str">
        <f>IFERROR(_xlfn.XLOOKUP($A292,'Raw Data'!$A:$A,'Raw Data'!$BA:$BA),"")</f>
        <v/>
      </c>
      <c r="Y292" s="227" t="str">
        <f>IFERROR(_xlfn.XLOOKUP($A292,'Raw Data'!$A:$A,'Raw Data'!BJ:BJ),"")</f>
        <v/>
      </c>
      <c r="Z292" s="227" t="str">
        <f>IFERROR(_xlfn.XLOOKUP($A292,'Raw Data'!$A:$A,'Raw Data'!BK:BK),"")</f>
        <v/>
      </c>
      <c r="AA292" s="227" t="str">
        <f>IFERROR(_xlfn.XLOOKUP($A292,'Raw Data'!$A:$A,'Raw Data'!BL:BL),"")</f>
        <v/>
      </c>
      <c r="AB292" s="227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27">
        <f>IFERROR(_xlfn.XLOOKUP($D292,'Modelling New'!$D:$D,'Modelling New'!$T:$T)*1000,"")</f>
        <v>114636.64210349345</v>
      </c>
      <c r="AE292" s="234">
        <f>IFERROR(_xlfn.XLOOKUP($D292,'Modelling New'!$D:$D,'Modelling New'!$O:$O),"")</f>
        <v>0.69465853509305142</v>
      </c>
      <c r="AF292" s="234">
        <f>IFERROR(_xlfn.XLOOKUP($D292,'Modelling New'!$D:$D,'Modelling New'!$W:$W),"")</f>
        <v>0.19653981402834317</v>
      </c>
      <c r="AG292" s="234">
        <f>IFERROR(_xlfn.XLOOKUP($D292,'Modelling New'!$D:$D,'Modelling New'!AE:AE),"")</f>
        <v>0.995</v>
      </c>
      <c r="AH292" s="234">
        <v>0.99750000000000005</v>
      </c>
      <c r="AI292" s="6"/>
      <c r="AJ292" s="6"/>
      <c r="AK292" s="6"/>
      <c r="AL292" s="6"/>
      <c r="AM292" s="6"/>
      <c r="AN292" s="231"/>
      <c r="AO292" s="234"/>
      <c r="AP292" s="234"/>
      <c r="AQ292" s="234"/>
      <c r="AR292" s="227">
        <f>IFERROR(_xlfn.XLOOKUP($D292,'Modelling New'!$D:$D,'Modelling New'!$N:$N),"")</f>
        <v>24.303100000000001</v>
      </c>
      <c r="AS292" s="227"/>
    </row>
    <row r="293" spans="1:45" x14ac:dyDescent="0.35">
      <c r="A293" s="226">
        <f t="shared" si="22"/>
        <v>46036</v>
      </c>
      <c r="B293" s="227">
        <f>YEAR(Daily_KPI[[#This Row],[Date]])+IF(MONTH(Daily_KPI[[#This Row],[Date]])&gt;=4,1,0)</f>
        <v>2026</v>
      </c>
      <c r="C293" s="6">
        <f>YEAR(Daily_KPI[[#This Row],[Date]])</f>
        <v>2026</v>
      </c>
      <c r="D293" s="228">
        <f>Daily_KPI[[#This Row],[Date]]-DAY(Daily_KPI[[#This Row],[Date]])+1</f>
        <v>46023</v>
      </c>
      <c r="E293" s="6">
        <f t="shared" si="20"/>
        <v>31</v>
      </c>
      <c r="F293" s="229" t="str">
        <f>IFERROR(_xlfn.XLOOKUP($A293,'Raw Data'!$A:$A,'Raw Data'!$BR:$BR),"")</f>
        <v/>
      </c>
      <c r="G293" s="230" t="str">
        <f>IFERROR(_xlfn.XLOOKUP($A293,'Raw Data'!$A:$A,'Raw Data'!$AO:$AO),"")</f>
        <v/>
      </c>
      <c r="H293" s="230"/>
      <c r="I293" s="230" t="str">
        <f>IFERROR(_xlfn.XLOOKUP($A293,'Raw Data'!$A:$A,'Raw Data'!$AR:$AR),"")</f>
        <v/>
      </c>
      <c r="J293" s="230"/>
      <c r="K293" s="230" t="str">
        <f>IFERROR(_xlfn.XLOOKUP($A293,'Raw Data'!$A:$A,'Raw Data'!$AV:$AV),"")</f>
        <v/>
      </c>
      <c r="L293" s="230" t="str">
        <f>IFERROR(_xlfn.XLOOKUP($A293,'Raw Data'!$A:$A,'Raw Data'!$AW:$AW),"")</f>
        <v/>
      </c>
      <c r="M293" s="230" t="str">
        <f>IFERROR(_xlfn.XLOOKUP($A293,'Raw Data'!$A:$A,'Raw Data'!$AX:$AX),"")</f>
        <v/>
      </c>
      <c r="N293" s="230" t="str">
        <f>IFERROR(_xlfn.XLOOKUP($A293,'Raw Data'!$A:$A,'Raw Data'!$AY:$AY),"")</f>
        <v/>
      </c>
      <c r="O293" s="231" t="str">
        <f>IFERROR(1-(SUMIF('Plant BD'!$B:$B,A293,'Plant BD'!$AE:$AE)/(AA293+SUMIF('Plant BD'!$B:$B,A293,'Plant BD'!$AE:$AE))),"")</f>
        <v/>
      </c>
      <c r="P293" s="231"/>
      <c r="Q293" s="232"/>
      <c r="R293" s="231" t="str">
        <f>IFERROR(1-(SUMIF('Grid BD'!$B:$B,$A293,'Grid BD'!$AD:$AD)/($AA293+SUMIF('Grid BD'!$B:$B,$A293,'Grid BD'!AD:AD))),"")</f>
        <v/>
      </c>
      <c r="S293" s="6"/>
      <c r="T293" s="232"/>
      <c r="U293" s="233" t="str">
        <f t="shared" si="21"/>
        <v/>
      </c>
      <c r="V293" s="233"/>
      <c r="W293" s="234" t="str">
        <f t="shared" si="19"/>
        <v/>
      </c>
      <c r="X293" s="227" t="str">
        <f>IFERROR(_xlfn.XLOOKUP($A293,'Raw Data'!$A:$A,'Raw Data'!$BA:$BA),"")</f>
        <v/>
      </c>
      <c r="Y293" s="227" t="str">
        <f>IFERROR(_xlfn.XLOOKUP($A293,'Raw Data'!$A:$A,'Raw Data'!BJ:BJ),"")</f>
        <v/>
      </c>
      <c r="Z293" s="227" t="str">
        <f>IFERROR(_xlfn.XLOOKUP($A293,'Raw Data'!$A:$A,'Raw Data'!BK:BK),"")</f>
        <v/>
      </c>
      <c r="AA293" s="227" t="str">
        <f>IFERROR(_xlfn.XLOOKUP($A293,'Raw Data'!$A:$A,'Raw Data'!BL:BL),"")</f>
        <v/>
      </c>
      <c r="AB293" s="227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27">
        <f>IFERROR(_xlfn.XLOOKUP($D293,'Modelling New'!$D:$D,'Modelling New'!$T:$T)*1000,"")</f>
        <v>114636.64210349345</v>
      </c>
      <c r="AE293" s="234">
        <f>IFERROR(_xlfn.XLOOKUP($D293,'Modelling New'!$D:$D,'Modelling New'!$O:$O),"")</f>
        <v>0.69465853509305142</v>
      </c>
      <c r="AF293" s="234">
        <f>IFERROR(_xlfn.XLOOKUP($D293,'Modelling New'!$D:$D,'Modelling New'!$W:$W),"")</f>
        <v>0.19653981402834317</v>
      </c>
      <c r="AG293" s="234">
        <f>IFERROR(_xlfn.XLOOKUP($D293,'Modelling New'!$D:$D,'Modelling New'!AE:AE),"")</f>
        <v>0.995</v>
      </c>
      <c r="AH293" s="234">
        <v>0.99750000000000005</v>
      </c>
      <c r="AI293" s="6"/>
      <c r="AJ293" s="6"/>
      <c r="AK293" s="6"/>
      <c r="AL293" s="6"/>
      <c r="AM293" s="6"/>
      <c r="AN293" s="231"/>
      <c r="AO293" s="234"/>
      <c r="AP293" s="234"/>
      <c r="AQ293" s="234"/>
      <c r="AR293" s="227">
        <f>IFERROR(_xlfn.XLOOKUP($D293,'Modelling New'!$D:$D,'Modelling New'!$N:$N),"")</f>
        <v>24.303100000000001</v>
      </c>
      <c r="AS293" s="227"/>
    </row>
    <row r="294" spans="1:45" x14ac:dyDescent="0.35">
      <c r="A294" s="226">
        <f t="shared" si="22"/>
        <v>46037</v>
      </c>
      <c r="B294" s="227">
        <f>YEAR(Daily_KPI[[#This Row],[Date]])+IF(MONTH(Daily_KPI[[#This Row],[Date]])&gt;=4,1,0)</f>
        <v>2026</v>
      </c>
      <c r="C294" s="6">
        <f>YEAR(Daily_KPI[[#This Row],[Date]])</f>
        <v>2026</v>
      </c>
      <c r="D294" s="228">
        <f>Daily_KPI[[#This Row],[Date]]-DAY(Daily_KPI[[#This Row],[Date]])+1</f>
        <v>46023</v>
      </c>
      <c r="E294" s="6">
        <f t="shared" si="20"/>
        <v>31</v>
      </c>
      <c r="F294" s="229" t="str">
        <f>IFERROR(_xlfn.XLOOKUP($A294,'Raw Data'!$A:$A,'Raw Data'!$BR:$BR),"")</f>
        <v/>
      </c>
      <c r="G294" s="230" t="str">
        <f>IFERROR(_xlfn.XLOOKUP($A294,'Raw Data'!$A:$A,'Raw Data'!$AO:$AO),"")</f>
        <v/>
      </c>
      <c r="H294" s="230"/>
      <c r="I294" s="230" t="str">
        <f>IFERROR(_xlfn.XLOOKUP($A294,'Raw Data'!$A:$A,'Raw Data'!$AR:$AR),"")</f>
        <v/>
      </c>
      <c r="J294" s="230"/>
      <c r="K294" s="230" t="str">
        <f>IFERROR(_xlfn.XLOOKUP($A294,'Raw Data'!$A:$A,'Raw Data'!$AV:$AV),"")</f>
        <v/>
      </c>
      <c r="L294" s="230" t="str">
        <f>IFERROR(_xlfn.XLOOKUP($A294,'Raw Data'!$A:$A,'Raw Data'!$AW:$AW),"")</f>
        <v/>
      </c>
      <c r="M294" s="230" t="str">
        <f>IFERROR(_xlfn.XLOOKUP($A294,'Raw Data'!$A:$A,'Raw Data'!$AX:$AX),"")</f>
        <v/>
      </c>
      <c r="N294" s="230" t="str">
        <f>IFERROR(_xlfn.XLOOKUP($A294,'Raw Data'!$A:$A,'Raw Data'!$AY:$AY),"")</f>
        <v/>
      </c>
      <c r="O294" s="231" t="str">
        <f>IFERROR(1-(SUMIF('Plant BD'!$B:$B,A294,'Plant BD'!$AE:$AE)/(AA294+SUMIF('Plant BD'!$B:$B,A294,'Plant BD'!$AE:$AE))),"")</f>
        <v/>
      </c>
      <c r="P294" s="231"/>
      <c r="Q294" s="232"/>
      <c r="R294" s="231" t="str">
        <f>IFERROR(1-(SUMIF('Grid BD'!$B:$B,$A294,'Grid BD'!$AD:$AD)/($AA294+SUMIF('Grid BD'!$B:$B,$A294,'Grid BD'!AD:AD))),"")</f>
        <v/>
      </c>
      <c r="S294" s="6"/>
      <c r="T294" s="232"/>
      <c r="U294" s="233" t="str">
        <f t="shared" si="21"/>
        <v/>
      </c>
      <c r="V294" s="233"/>
      <c r="W294" s="234" t="str">
        <f t="shared" si="19"/>
        <v/>
      </c>
      <c r="X294" s="227" t="str">
        <f>IFERROR(_xlfn.XLOOKUP($A294,'Raw Data'!$A:$A,'Raw Data'!$BA:$BA),"")</f>
        <v/>
      </c>
      <c r="Y294" s="227" t="str">
        <f>IFERROR(_xlfn.XLOOKUP($A294,'Raw Data'!$A:$A,'Raw Data'!BJ:BJ),"")</f>
        <v/>
      </c>
      <c r="Z294" s="227" t="str">
        <f>IFERROR(_xlfn.XLOOKUP($A294,'Raw Data'!$A:$A,'Raw Data'!BK:BK),"")</f>
        <v/>
      </c>
      <c r="AA294" s="227" t="str">
        <f>IFERROR(_xlfn.XLOOKUP($A294,'Raw Data'!$A:$A,'Raw Data'!BL:BL),"")</f>
        <v/>
      </c>
      <c r="AB294" s="227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27">
        <f>IFERROR(_xlfn.XLOOKUP($D294,'Modelling New'!$D:$D,'Modelling New'!$T:$T)*1000,"")</f>
        <v>114636.64210349345</v>
      </c>
      <c r="AE294" s="234">
        <f>IFERROR(_xlfn.XLOOKUP($D294,'Modelling New'!$D:$D,'Modelling New'!$O:$O),"")</f>
        <v>0.69465853509305142</v>
      </c>
      <c r="AF294" s="234">
        <f>IFERROR(_xlfn.XLOOKUP($D294,'Modelling New'!$D:$D,'Modelling New'!$W:$W),"")</f>
        <v>0.19653981402834317</v>
      </c>
      <c r="AG294" s="234">
        <f>IFERROR(_xlfn.XLOOKUP($D294,'Modelling New'!$D:$D,'Modelling New'!AE:AE),"")</f>
        <v>0.995</v>
      </c>
      <c r="AH294" s="234">
        <v>0.99750000000000005</v>
      </c>
      <c r="AI294" s="6"/>
      <c r="AJ294" s="6"/>
      <c r="AK294" s="6"/>
      <c r="AL294" s="6"/>
      <c r="AM294" s="6"/>
      <c r="AN294" s="231"/>
      <c r="AO294" s="234"/>
      <c r="AP294" s="234"/>
      <c r="AQ294" s="234"/>
      <c r="AR294" s="227">
        <f>IFERROR(_xlfn.XLOOKUP($D294,'Modelling New'!$D:$D,'Modelling New'!$N:$N),"")</f>
        <v>24.303100000000001</v>
      </c>
      <c r="AS294" s="227"/>
    </row>
    <row r="295" spans="1:45" x14ac:dyDescent="0.35">
      <c r="A295" s="226">
        <f t="shared" si="22"/>
        <v>46038</v>
      </c>
      <c r="B295" s="227">
        <f>YEAR(Daily_KPI[[#This Row],[Date]])+IF(MONTH(Daily_KPI[[#This Row],[Date]])&gt;=4,1,0)</f>
        <v>2026</v>
      </c>
      <c r="C295" s="6">
        <f>YEAR(Daily_KPI[[#This Row],[Date]])</f>
        <v>2026</v>
      </c>
      <c r="D295" s="228">
        <f>Daily_KPI[[#This Row],[Date]]-DAY(Daily_KPI[[#This Row],[Date]])+1</f>
        <v>46023</v>
      </c>
      <c r="E295" s="6">
        <f t="shared" si="20"/>
        <v>31</v>
      </c>
      <c r="F295" s="229" t="str">
        <f>IFERROR(_xlfn.XLOOKUP($A295,'Raw Data'!$A:$A,'Raw Data'!$BR:$BR),"")</f>
        <v/>
      </c>
      <c r="G295" s="230" t="str">
        <f>IFERROR(_xlfn.XLOOKUP($A295,'Raw Data'!$A:$A,'Raw Data'!$AO:$AO),"")</f>
        <v/>
      </c>
      <c r="H295" s="230"/>
      <c r="I295" s="230" t="str">
        <f>IFERROR(_xlfn.XLOOKUP($A295,'Raw Data'!$A:$A,'Raw Data'!$AR:$AR),"")</f>
        <v/>
      </c>
      <c r="J295" s="230"/>
      <c r="K295" s="230" t="str">
        <f>IFERROR(_xlfn.XLOOKUP($A295,'Raw Data'!$A:$A,'Raw Data'!$AV:$AV),"")</f>
        <v/>
      </c>
      <c r="L295" s="230" t="str">
        <f>IFERROR(_xlfn.XLOOKUP($A295,'Raw Data'!$A:$A,'Raw Data'!$AW:$AW),"")</f>
        <v/>
      </c>
      <c r="M295" s="230" t="str">
        <f>IFERROR(_xlfn.XLOOKUP($A295,'Raw Data'!$A:$A,'Raw Data'!$AX:$AX),"")</f>
        <v/>
      </c>
      <c r="N295" s="230" t="str">
        <f>IFERROR(_xlfn.XLOOKUP($A295,'Raw Data'!$A:$A,'Raw Data'!$AY:$AY),"")</f>
        <v/>
      </c>
      <c r="O295" s="231" t="str">
        <f>IFERROR(1-(SUMIF('Plant BD'!$B:$B,A295,'Plant BD'!$AE:$AE)/(AA295+SUMIF('Plant BD'!$B:$B,A295,'Plant BD'!$AE:$AE))),"")</f>
        <v/>
      </c>
      <c r="P295" s="231"/>
      <c r="Q295" s="232"/>
      <c r="R295" s="231" t="str">
        <f>IFERROR(1-(SUMIF('Grid BD'!$B:$B,$A295,'Grid BD'!$AD:$AD)/($AA295+SUMIF('Grid BD'!$B:$B,$A295,'Grid BD'!AD:AD))),"")</f>
        <v/>
      </c>
      <c r="S295" s="6"/>
      <c r="T295" s="232"/>
      <c r="U295" s="233" t="str">
        <f t="shared" si="21"/>
        <v/>
      </c>
      <c r="V295" s="233"/>
      <c r="W295" s="234" t="str">
        <f t="shared" si="19"/>
        <v/>
      </c>
      <c r="X295" s="227" t="str">
        <f>IFERROR(_xlfn.XLOOKUP($A295,'Raw Data'!$A:$A,'Raw Data'!$BA:$BA),"")</f>
        <v/>
      </c>
      <c r="Y295" s="227" t="str">
        <f>IFERROR(_xlfn.XLOOKUP($A295,'Raw Data'!$A:$A,'Raw Data'!BJ:BJ),"")</f>
        <v/>
      </c>
      <c r="Z295" s="227" t="str">
        <f>IFERROR(_xlfn.XLOOKUP($A295,'Raw Data'!$A:$A,'Raw Data'!BK:BK),"")</f>
        <v/>
      </c>
      <c r="AA295" s="227" t="str">
        <f>IFERROR(_xlfn.XLOOKUP($A295,'Raw Data'!$A:$A,'Raw Data'!BL:BL),"")</f>
        <v/>
      </c>
      <c r="AB295" s="227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27">
        <f>IFERROR(_xlfn.XLOOKUP($D295,'Modelling New'!$D:$D,'Modelling New'!$T:$T)*1000,"")</f>
        <v>114636.64210349345</v>
      </c>
      <c r="AE295" s="234">
        <f>IFERROR(_xlfn.XLOOKUP($D295,'Modelling New'!$D:$D,'Modelling New'!$O:$O),"")</f>
        <v>0.69465853509305142</v>
      </c>
      <c r="AF295" s="234">
        <f>IFERROR(_xlfn.XLOOKUP($D295,'Modelling New'!$D:$D,'Modelling New'!$W:$W),"")</f>
        <v>0.19653981402834317</v>
      </c>
      <c r="AG295" s="234">
        <f>IFERROR(_xlfn.XLOOKUP($D295,'Modelling New'!$D:$D,'Modelling New'!AE:AE),"")</f>
        <v>0.995</v>
      </c>
      <c r="AH295" s="234">
        <v>0.99750000000000005</v>
      </c>
      <c r="AI295" s="6"/>
      <c r="AJ295" s="6"/>
      <c r="AK295" s="6"/>
      <c r="AL295" s="6"/>
      <c r="AM295" s="6"/>
      <c r="AN295" s="231"/>
      <c r="AO295" s="234"/>
      <c r="AP295" s="234"/>
      <c r="AQ295" s="234"/>
      <c r="AR295" s="227">
        <f>IFERROR(_xlfn.XLOOKUP($D295,'Modelling New'!$D:$D,'Modelling New'!$N:$N),"")</f>
        <v>24.303100000000001</v>
      </c>
      <c r="AS295" s="227"/>
    </row>
    <row r="296" spans="1:45" x14ac:dyDescent="0.35">
      <c r="A296" s="226">
        <f t="shared" si="22"/>
        <v>46039</v>
      </c>
      <c r="B296" s="227">
        <f>YEAR(Daily_KPI[[#This Row],[Date]])+IF(MONTH(Daily_KPI[[#This Row],[Date]])&gt;=4,1,0)</f>
        <v>2026</v>
      </c>
      <c r="C296" s="6">
        <f>YEAR(Daily_KPI[[#This Row],[Date]])</f>
        <v>2026</v>
      </c>
      <c r="D296" s="228">
        <f>Daily_KPI[[#This Row],[Date]]-DAY(Daily_KPI[[#This Row],[Date]])+1</f>
        <v>46023</v>
      </c>
      <c r="E296" s="6">
        <f t="shared" si="20"/>
        <v>31</v>
      </c>
      <c r="F296" s="229" t="str">
        <f>IFERROR(_xlfn.XLOOKUP($A296,'Raw Data'!$A:$A,'Raw Data'!$BR:$BR),"")</f>
        <v/>
      </c>
      <c r="G296" s="230" t="str">
        <f>IFERROR(_xlfn.XLOOKUP($A296,'Raw Data'!$A:$A,'Raw Data'!$AO:$AO),"")</f>
        <v/>
      </c>
      <c r="H296" s="230"/>
      <c r="I296" s="230" t="str">
        <f>IFERROR(_xlfn.XLOOKUP($A296,'Raw Data'!$A:$A,'Raw Data'!$AR:$AR),"")</f>
        <v/>
      </c>
      <c r="J296" s="230"/>
      <c r="K296" s="230" t="str">
        <f>IFERROR(_xlfn.XLOOKUP($A296,'Raw Data'!$A:$A,'Raw Data'!$AV:$AV),"")</f>
        <v/>
      </c>
      <c r="L296" s="230" t="str">
        <f>IFERROR(_xlfn.XLOOKUP($A296,'Raw Data'!$A:$A,'Raw Data'!$AW:$AW),"")</f>
        <v/>
      </c>
      <c r="M296" s="230" t="str">
        <f>IFERROR(_xlfn.XLOOKUP($A296,'Raw Data'!$A:$A,'Raw Data'!$AX:$AX),"")</f>
        <v/>
      </c>
      <c r="N296" s="230" t="str">
        <f>IFERROR(_xlfn.XLOOKUP($A296,'Raw Data'!$A:$A,'Raw Data'!$AY:$AY),"")</f>
        <v/>
      </c>
      <c r="O296" s="231" t="str">
        <f>IFERROR(1-(SUMIF('Plant BD'!$B:$B,A296,'Plant BD'!$AE:$AE)/(AA296+SUMIF('Plant BD'!$B:$B,A296,'Plant BD'!$AE:$AE))),"")</f>
        <v/>
      </c>
      <c r="P296" s="231"/>
      <c r="Q296" s="232"/>
      <c r="R296" s="231" t="str">
        <f>IFERROR(1-(SUMIF('Grid BD'!$B:$B,$A296,'Grid BD'!$AD:$AD)/($AA296+SUMIF('Grid BD'!$B:$B,$A296,'Grid BD'!AD:AD))),"")</f>
        <v/>
      </c>
      <c r="S296" s="6"/>
      <c r="T296" s="232"/>
      <c r="U296" s="233" t="str">
        <f t="shared" si="21"/>
        <v/>
      </c>
      <c r="V296" s="233"/>
      <c r="W296" s="234" t="str">
        <f t="shared" si="19"/>
        <v/>
      </c>
      <c r="X296" s="227" t="str">
        <f>IFERROR(_xlfn.XLOOKUP($A296,'Raw Data'!$A:$A,'Raw Data'!$BA:$BA),"")</f>
        <v/>
      </c>
      <c r="Y296" s="227" t="str">
        <f>IFERROR(_xlfn.XLOOKUP($A296,'Raw Data'!$A:$A,'Raw Data'!BJ:BJ),"")</f>
        <v/>
      </c>
      <c r="Z296" s="227" t="str">
        <f>IFERROR(_xlfn.XLOOKUP($A296,'Raw Data'!$A:$A,'Raw Data'!BK:BK),"")</f>
        <v/>
      </c>
      <c r="AA296" s="227" t="str">
        <f>IFERROR(_xlfn.XLOOKUP($A296,'Raw Data'!$A:$A,'Raw Data'!BL:BL),"")</f>
        <v/>
      </c>
      <c r="AB296" s="227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27">
        <f>IFERROR(_xlfn.XLOOKUP($D296,'Modelling New'!$D:$D,'Modelling New'!$T:$T)*1000,"")</f>
        <v>114636.64210349345</v>
      </c>
      <c r="AE296" s="234">
        <f>IFERROR(_xlfn.XLOOKUP($D296,'Modelling New'!$D:$D,'Modelling New'!$O:$O),"")</f>
        <v>0.69465853509305142</v>
      </c>
      <c r="AF296" s="234">
        <f>IFERROR(_xlfn.XLOOKUP($D296,'Modelling New'!$D:$D,'Modelling New'!$W:$W),"")</f>
        <v>0.19653981402834317</v>
      </c>
      <c r="AG296" s="234">
        <f>IFERROR(_xlfn.XLOOKUP($D296,'Modelling New'!$D:$D,'Modelling New'!AE:AE),"")</f>
        <v>0.995</v>
      </c>
      <c r="AH296" s="234">
        <v>0.99750000000000005</v>
      </c>
      <c r="AI296" s="6"/>
      <c r="AJ296" s="6"/>
      <c r="AK296" s="6"/>
      <c r="AL296" s="6"/>
      <c r="AM296" s="6"/>
      <c r="AN296" s="231"/>
      <c r="AO296" s="234"/>
      <c r="AP296" s="234"/>
      <c r="AQ296" s="234"/>
      <c r="AR296" s="227">
        <f>IFERROR(_xlfn.XLOOKUP($D296,'Modelling New'!$D:$D,'Modelling New'!$N:$N),"")</f>
        <v>24.303100000000001</v>
      </c>
      <c r="AS296" s="227"/>
    </row>
    <row r="297" spans="1:45" x14ac:dyDescent="0.35">
      <c r="A297" s="226">
        <f t="shared" si="22"/>
        <v>46040</v>
      </c>
      <c r="B297" s="227">
        <f>YEAR(Daily_KPI[[#This Row],[Date]])+IF(MONTH(Daily_KPI[[#This Row],[Date]])&gt;=4,1,0)</f>
        <v>2026</v>
      </c>
      <c r="C297" s="6">
        <f>YEAR(Daily_KPI[[#This Row],[Date]])</f>
        <v>2026</v>
      </c>
      <c r="D297" s="228">
        <f>Daily_KPI[[#This Row],[Date]]-DAY(Daily_KPI[[#This Row],[Date]])+1</f>
        <v>46023</v>
      </c>
      <c r="E297" s="6">
        <f t="shared" si="20"/>
        <v>31</v>
      </c>
      <c r="F297" s="229" t="str">
        <f>IFERROR(_xlfn.XLOOKUP($A297,'Raw Data'!$A:$A,'Raw Data'!$BR:$BR),"")</f>
        <v/>
      </c>
      <c r="G297" s="230" t="str">
        <f>IFERROR(_xlfn.XLOOKUP($A297,'Raw Data'!$A:$A,'Raw Data'!$AO:$AO),"")</f>
        <v/>
      </c>
      <c r="H297" s="230"/>
      <c r="I297" s="230" t="str">
        <f>IFERROR(_xlfn.XLOOKUP($A297,'Raw Data'!$A:$A,'Raw Data'!$AR:$AR),"")</f>
        <v/>
      </c>
      <c r="J297" s="230"/>
      <c r="K297" s="230" t="str">
        <f>IFERROR(_xlfn.XLOOKUP($A297,'Raw Data'!$A:$A,'Raw Data'!$AV:$AV),"")</f>
        <v/>
      </c>
      <c r="L297" s="230" t="str">
        <f>IFERROR(_xlfn.XLOOKUP($A297,'Raw Data'!$A:$A,'Raw Data'!$AW:$AW),"")</f>
        <v/>
      </c>
      <c r="M297" s="230" t="str">
        <f>IFERROR(_xlfn.XLOOKUP($A297,'Raw Data'!$A:$A,'Raw Data'!$AX:$AX),"")</f>
        <v/>
      </c>
      <c r="N297" s="230" t="str">
        <f>IFERROR(_xlfn.XLOOKUP($A297,'Raw Data'!$A:$A,'Raw Data'!$AY:$AY),"")</f>
        <v/>
      </c>
      <c r="O297" s="231" t="str">
        <f>IFERROR(1-(SUMIF('Plant BD'!$B:$B,A297,'Plant BD'!$AE:$AE)/(AA297+SUMIF('Plant BD'!$B:$B,A297,'Plant BD'!$AE:$AE))),"")</f>
        <v/>
      </c>
      <c r="P297" s="231"/>
      <c r="Q297" s="232"/>
      <c r="R297" s="231" t="str">
        <f>IFERROR(1-(SUMIF('Grid BD'!$B:$B,$A297,'Grid BD'!$AD:$AD)/($AA297+SUMIF('Grid BD'!$B:$B,$A297,'Grid BD'!AD:AD))),"")</f>
        <v/>
      </c>
      <c r="S297" s="6"/>
      <c r="T297" s="232"/>
      <c r="U297" s="233" t="str">
        <f t="shared" si="21"/>
        <v/>
      </c>
      <c r="V297" s="233"/>
      <c r="W297" s="234" t="str">
        <f t="shared" si="19"/>
        <v/>
      </c>
      <c r="X297" s="227" t="str">
        <f>IFERROR(_xlfn.XLOOKUP($A297,'Raw Data'!$A:$A,'Raw Data'!$BA:$BA),"")</f>
        <v/>
      </c>
      <c r="Y297" s="227" t="str">
        <f>IFERROR(_xlfn.XLOOKUP($A297,'Raw Data'!$A:$A,'Raw Data'!BJ:BJ),"")</f>
        <v/>
      </c>
      <c r="Z297" s="227" t="str">
        <f>IFERROR(_xlfn.XLOOKUP($A297,'Raw Data'!$A:$A,'Raw Data'!BK:BK),"")</f>
        <v/>
      </c>
      <c r="AA297" s="227" t="str">
        <f>IFERROR(_xlfn.XLOOKUP($A297,'Raw Data'!$A:$A,'Raw Data'!BL:BL),"")</f>
        <v/>
      </c>
      <c r="AB297" s="227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27">
        <f>IFERROR(_xlfn.XLOOKUP($D297,'Modelling New'!$D:$D,'Modelling New'!$T:$T)*1000,"")</f>
        <v>114636.64210349345</v>
      </c>
      <c r="AE297" s="234">
        <f>IFERROR(_xlfn.XLOOKUP($D297,'Modelling New'!$D:$D,'Modelling New'!$O:$O),"")</f>
        <v>0.69465853509305142</v>
      </c>
      <c r="AF297" s="234">
        <f>IFERROR(_xlfn.XLOOKUP($D297,'Modelling New'!$D:$D,'Modelling New'!$W:$W),"")</f>
        <v>0.19653981402834317</v>
      </c>
      <c r="AG297" s="234">
        <f>IFERROR(_xlfn.XLOOKUP($D297,'Modelling New'!$D:$D,'Modelling New'!AE:AE),"")</f>
        <v>0.995</v>
      </c>
      <c r="AH297" s="234">
        <v>0.99750000000000005</v>
      </c>
      <c r="AI297" s="6"/>
      <c r="AJ297" s="6"/>
      <c r="AK297" s="6"/>
      <c r="AL297" s="6"/>
      <c r="AM297" s="6"/>
      <c r="AN297" s="231"/>
      <c r="AO297" s="234"/>
      <c r="AP297" s="234"/>
      <c r="AQ297" s="234"/>
      <c r="AR297" s="227">
        <f>IFERROR(_xlfn.XLOOKUP($D297,'Modelling New'!$D:$D,'Modelling New'!$N:$N),"")</f>
        <v>24.303100000000001</v>
      </c>
      <c r="AS297" s="227"/>
    </row>
    <row r="298" spans="1:45" x14ac:dyDescent="0.35">
      <c r="A298" s="226">
        <f t="shared" si="22"/>
        <v>46041</v>
      </c>
      <c r="B298" s="227">
        <f>YEAR(Daily_KPI[[#This Row],[Date]])+IF(MONTH(Daily_KPI[[#This Row],[Date]])&gt;=4,1,0)</f>
        <v>2026</v>
      </c>
      <c r="C298" s="6">
        <f>YEAR(Daily_KPI[[#This Row],[Date]])</f>
        <v>2026</v>
      </c>
      <c r="D298" s="228">
        <f>Daily_KPI[[#This Row],[Date]]-DAY(Daily_KPI[[#This Row],[Date]])+1</f>
        <v>46023</v>
      </c>
      <c r="E298" s="6">
        <f t="shared" si="20"/>
        <v>31</v>
      </c>
      <c r="F298" s="229" t="str">
        <f>IFERROR(_xlfn.XLOOKUP($A298,'Raw Data'!$A:$A,'Raw Data'!$BR:$BR),"")</f>
        <v/>
      </c>
      <c r="G298" s="230" t="str">
        <f>IFERROR(_xlfn.XLOOKUP($A298,'Raw Data'!$A:$A,'Raw Data'!$AO:$AO),"")</f>
        <v/>
      </c>
      <c r="H298" s="230"/>
      <c r="I298" s="230" t="str">
        <f>IFERROR(_xlfn.XLOOKUP($A298,'Raw Data'!$A:$A,'Raw Data'!$AR:$AR),"")</f>
        <v/>
      </c>
      <c r="J298" s="230"/>
      <c r="K298" s="230" t="str">
        <f>IFERROR(_xlfn.XLOOKUP($A298,'Raw Data'!$A:$A,'Raw Data'!$AV:$AV),"")</f>
        <v/>
      </c>
      <c r="L298" s="230" t="str">
        <f>IFERROR(_xlfn.XLOOKUP($A298,'Raw Data'!$A:$A,'Raw Data'!$AW:$AW),"")</f>
        <v/>
      </c>
      <c r="M298" s="230" t="str">
        <f>IFERROR(_xlfn.XLOOKUP($A298,'Raw Data'!$A:$A,'Raw Data'!$AX:$AX),"")</f>
        <v/>
      </c>
      <c r="N298" s="230" t="str">
        <f>IFERROR(_xlfn.XLOOKUP($A298,'Raw Data'!$A:$A,'Raw Data'!$AY:$AY),"")</f>
        <v/>
      </c>
      <c r="O298" s="231" t="str">
        <f>IFERROR(1-(SUMIF('Plant BD'!$B:$B,A298,'Plant BD'!$AE:$AE)/(AA298+SUMIF('Plant BD'!$B:$B,A298,'Plant BD'!$AE:$AE))),"")</f>
        <v/>
      </c>
      <c r="P298" s="231"/>
      <c r="Q298" s="232"/>
      <c r="R298" s="231" t="str">
        <f>IFERROR(1-(SUMIF('Grid BD'!$B:$B,$A298,'Grid BD'!$AD:$AD)/($AA298+SUMIF('Grid BD'!$B:$B,$A298,'Grid BD'!AD:AD))),"")</f>
        <v/>
      </c>
      <c r="S298" s="6"/>
      <c r="T298" s="232"/>
      <c r="U298" s="233" t="str">
        <f t="shared" si="21"/>
        <v/>
      </c>
      <c r="V298" s="233"/>
      <c r="W298" s="234" t="str">
        <f t="shared" si="19"/>
        <v/>
      </c>
      <c r="X298" s="227" t="str">
        <f>IFERROR(_xlfn.XLOOKUP($A298,'Raw Data'!$A:$A,'Raw Data'!$BA:$BA),"")</f>
        <v/>
      </c>
      <c r="Y298" s="227" t="str">
        <f>IFERROR(_xlfn.XLOOKUP($A298,'Raw Data'!$A:$A,'Raw Data'!BJ:BJ),"")</f>
        <v/>
      </c>
      <c r="Z298" s="227" t="str">
        <f>IFERROR(_xlfn.XLOOKUP($A298,'Raw Data'!$A:$A,'Raw Data'!BK:BK),"")</f>
        <v/>
      </c>
      <c r="AA298" s="227" t="str">
        <f>IFERROR(_xlfn.XLOOKUP($A298,'Raw Data'!$A:$A,'Raw Data'!BL:BL),"")</f>
        <v/>
      </c>
      <c r="AB298" s="227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27">
        <f>IFERROR(_xlfn.XLOOKUP($D298,'Modelling New'!$D:$D,'Modelling New'!$T:$T)*1000,"")</f>
        <v>114636.64210349345</v>
      </c>
      <c r="AE298" s="234">
        <f>IFERROR(_xlfn.XLOOKUP($D298,'Modelling New'!$D:$D,'Modelling New'!$O:$O),"")</f>
        <v>0.69465853509305142</v>
      </c>
      <c r="AF298" s="234">
        <f>IFERROR(_xlfn.XLOOKUP($D298,'Modelling New'!$D:$D,'Modelling New'!$W:$W),"")</f>
        <v>0.19653981402834317</v>
      </c>
      <c r="AG298" s="234">
        <f>IFERROR(_xlfn.XLOOKUP($D298,'Modelling New'!$D:$D,'Modelling New'!AE:AE),"")</f>
        <v>0.995</v>
      </c>
      <c r="AH298" s="234">
        <v>0.99750000000000005</v>
      </c>
      <c r="AI298" s="6"/>
      <c r="AJ298" s="6"/>
      <c r="AK298" s="6"/>
      <c r="AL298" s="6"/>
      <c r="AM298" s="6"/>
      <c r="AN298" s="231"/>
      <c r="AO298" s="234"/>
      <c r="AP298" s="234"/>
      <c r="AQ298" s="234"/>
      <c r="AR298" s="227">
        <f>IFERROR(_xlfn.XLOOKUP($D298,'Modelling New'!$D:$D,'Modelling New'!$N:$N),"")</f>
        <v>24.303100000000001</v>
      </c>
      <c r="AS298" s="227"/>
    </row>
    <row r="299" spans="1:45" x14ac:dyDescent="0.35">
      <c r="A299" s="226">
        <f t="shared" si="22"/>
        <v>46042</v>
      </c>
      <c r="B299" s="227">
        <f>YEAR(Daily_KPI[[#This Row],[Date]])+IF(MONTH(Daily_KPI[[#This Row],[Date]])&gt;=4,1,0)</f>
        <v>2026</v>
      </c>
      <c r="C299" s="6">
        <f>YEAR(Daily_KPI[[#This Row],[Date]])</f>
        <v>2026</v>
      </c>
      <c r="D299" s="228">
        <f>Daily_KPI[[#This Row],[Date]]-DAY(Daily_KPI[[#This Row],[Date]])+1</f>
        <v>46023</v>
      </c>
      <c r="E299" s="6">
        <f t="shared" si="20"/>
        <v>31</v>
      </c>
      <c r="F299" s="229" t="str">
        <f>IFERROR(_xlfn.XLOOKUP($A299,'Raw Data'!$A:$A,'Raw Data'!$BR:$BR),"")</f>
        <v/>
      </c>
      <c r="G299" s="230" t="str">
        <f>IFERROR(_xlfn.XLOOKUP($A299,'Raw Data'!$A:$A,'Raw Data'!$AO:$AO),"")</f>
        <v/>
      </c>
      <c r="H299" s="230"/>
      <c r="I299" s="230" t="str">
        <f>IFERROR(_xlfn.XLOOKUP($A299,'Raw Data'!$A:$A,'Raw Data'!$AR:$AR),"")</f>
        <v/>
      </c>
      <c r="J299" s="230"/>
      <c r="K299" s="230" t="str">
        <f>IFERROR(_xlfn.XLOOKUP($A299,'Raw Data'!$A:$A,'Raw Data'!$AV:$AV),"")</f>
        <v/>
      </c>
      <c r="L299" s="230" t="str">
        <f>IFERROR(_xlfn.XLOOKUP($A299,'Raw Data'!$A:$A,'Raw Data'!$AW:$AW),"")</f>
        <v/>
      </c>
      <c r="M299" s="230" t="str">
        <f>IFERROR(_xlfn.XLOOKUP($A299,'Raw Data'!$A:$A,'Raw Data'!$AX:$AX),"")</f>
        <v/>
      </c>
      <c r="N299" s="230" t="str">
        <f>IFERROR(_xlfn.XLOOKUP($A299,'Raw Data'!$A:$A,'Raw Data'!$AY:$AY),"")</f>
        <v/>
      </c>
      <c r="O299" s="231" t="str">
        <f>IFERROR(1-(SUMIF('Plant BD'!$B:$B,A299,'Plant BD'!$AE:$AE)/(AA299+SUMIF('Plant BD'!$B:$B,A299,'Plant BD'!$AE:$AE))),"")</f>
        <v/>
      </c>
      <c r="P299" s="231"/>
      <c r="Q299" s="232"/>
      <c r="R299" s="231" t="str">
        <f>IFERROR(1-(SUMIF('Grid BD'!$B:$B,$A299,'Grid BD'!$AD:$AD)/($AA299+SUMIF('Grid BD'!$B:$B,$A299,'Grid BD'!AD:AD))),"")</f>
        <v/>
      </c>
      <c r="S299" s="6"/>
      <c r="T299" s="232"/>
      <c r="U299" s="233" t="str">
        <f t="shared" si="21"/>
        <v/>
      </c>
      <c r="V299" s="233"/>
      <c r="W299" s="234" t="str">
        <f t="shared" ref="W299:W362" si="23">IFERROR(AA299/(24*AR299*1000),"")</f>
        <v/>
      </c>
      <c r="X299" s="227" t="str">
        <f>IFERROR(_xlfn.XLOOKUP($A299,'Raw Data'!$A:$A,'Raw Data'!$BA:$BA),"")</f>
        <v/>
      </c>
      <c r="Y299" s="227" t="str">
        <f>IFERROR(_xlfn.XLOOKUP($A299,'Raw Data'!$A:$A,'Raw Data'!BJ:BJ),"")</f>
        <v/>
      </c>
      <c r="Z299" s="227" t="str">
        <f>IFERROR(_xlfn.XLOOKUP($A299,'Raw Data'!$A:$A,'Raw Data'!BK:BK),"")</f>
        <v/>
      </c>
      <c r="AA299" s="227" t="str">
        <f>IFERROR(_xlfn.XLOOKUP($A299,'Raw Data'!$A:$A,'Raw Data'!BL:BL),"")</f>
        <v/>
      </c>
      <c r="AB299" s="227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27">
        <f>IFERROR(_xlfn.XLOOKUP($D299,'Modelling New'!$D:$D,'Modelling New'!$T:$T)*1000,"")</f>
        <v>114636.64210349345</v>
      </c>
      <c r="AE299" s="234">
        <f>IFERROR(_xlfn.XLOOKUP($D299,'Modelling New'!$D:$D,'Modelling New'!$O:$O),"")</f>
        <v>0.69465853509305142</v>
      </c>
      <c r="AF299" s="234">
        <f>IFERROR(_xlfn.XLOOKUP($D299,'Modelling New'!$D:$D,'Modelling New'!$W:$W),"")</f>
        <v>0.19653981402834317</v>
      </c>
      <c r="AG299" s="234">
        <f>IFERROR(_xlfn.XLOOKUP($D299,'Modelling New'!$D:$D,'Modelling New'!AE:AE),"")</f>
        <v>0.995</v>
      </c>
      <c r="AH299" s="234">
        <v>0.99750000000000005</v>
      </c>
      <c r="AI299" s="6"/>
      <c r="AJ299" s="6"/>
      <c r="AK299" s="6"/>
      <c r="AL299" s="6"/>
      <c r="AM299" s="6"/>
      <c r="AN299" s="231"/>
      <c r="AO299" s="234"/>
      <c r="AP299" s="234"/>
      <c r="AQ299" s="234"/>
      <c r="AR299" s="227">
        <f>IFERROR(_xlfn.XLOOKUP($D299,'Modelling New'!$D:$D,'Modelling New'!$N:$N),"")</f>
        <v>24.303100000000001</v>
      </c>
      <c r="AS299" s="227"/>
    </row>
    <row r="300" spans="1:45" x14ac:dyDescent="0.35">
      <c r="A300" s="226">
        <f t="shared" si="22"/>
        <v>46043</v>
      </c>
      <c r="B300" s="227">
        <f>YEAR(Daily_KPI[[#This Row],[Date]])+IF(MONTH(Daily_KPI[[#This Row],[Date]])&gt;=4,1,0)</f>
        <v>2026</v>
      </c>
      <c r="C300" s="6">
        <f>YEAR(Daily_KPI[[#This Row],[Date]])</f>
        <v>2026</v>
      </c>
      <c r="D300" s="228">
        <f>Daily_KPI[[#This Row],[Date]]-DAY(Daily_KPI[[#This Row],[Date]])+1</f>
        <v>46023</v>
      </c>
      <c r="E300" s="6">
        <f t="shared" si="20"/>
        <v>31</v>
      </c>
      <c r="F300" s="229" t="str">
        <f>IFERROR(_xlfn.XLOOKUP($A300,'Raw Data'!$A:$A,'Raw Data'!$BR:$BR),"")</f>
        <v/>
      </c>
      <c r="G300" s="230" t="str">
        <f>IFERROR(_xlfn.XLOOKUP($A300,'Raw Data'!$A:$A,'Raw Data'!$AO:$AO),"")</f>
        <v/>
      </c>
      <c r="H300" s="230"/>
      <c r="I300" s="230" t="str">
        <f>IFERROR(_xlfn.XLOOKUP($A300,'Raw Data'!$A:$A,'Raw Data'!$AR:$AR),"")</f>
        <v/>
      </c>
      <c r="J300" s="230"/>
      <c r="K300" s="230" t="str">
        <f>IFERROR(_xlfn.XLOOKUP($A300,'Raw Data'!$A:$A,'Raw Data'!$AV:$AV),"")</f>
        <v/>
      </c>
      <c r="L300" s="230" t="str">
        <f>IFERROR(_xlfn.XLOOKUP($A300,'Raw Data'!$A:$A,'Raw Data'!$AW:$AW),"")</f>
        <v/>
      </c>
      <c r="M300" s="230" t="str">
        <f>IFERROR(_xlfn.XLOOKUP($A300,'Raw Data'!$A:$A,'Raw Data'!$AX:$AX),"")</f>
        <v/>
      </c>
      <c r="N300" s="230" t="str">
        <f>IFERROR(_xlfn.XLOOKUP($A300,'Raw Data'!$A:$A,'Raw Data'!$AY:$AY),"")</f>
        <v/>
      </c>
      <c r="O300" s="231" t="str">
        <f>IFERROR(1-(SUMIF('Plant BD'!$B:$B,A300,'Plant BD'!$AE:$AE)/(AA300+SUMIF('Plant BD'!$B:$B,A300,'Plant BD'!$AE:$AE))),"")</f>
        <v/>
      </c>
      <c r="P300" s="231"/>
      <c r="Q300" s="232"/>
      <c r="R300" s="231" t="str">
        <f>IFERROR(1-(SUMIF('Grid BD'!$B:$B,$A300,'Grid BD'!$AD:$AD)/($AA300+SUMIF('Grid BD'!$B:$B,$A300,'Grid BD'!AD:AD))),"")</f>
        <v/>
      </c>
      <c r="S300" s="6"/>
      <c r="T300" s="232"/>
      <c r="U300" s="233" t="str">
        <f t="shared" si="21"/>
        <v/>
      </c>
      <c r="V300" s="233"/>
      <c r="W300" s="234" t="str">
        <f t="shared" si="23"/>
        <v/>
      </c>
      <c r="X300" s="227" t="str">
        <f>IFERROR(_xlfn.XLOOKUP($A300,'Raw Data'!$A:$A,'Raw Data'!$BA:$BA),"")</f>
        <v/>
      </c>
      <c r="Y300" s="227" t="str">
        <f>IFERROR(_xlfn.XLOOKUP($A300,'Raw Data'!$A:$A,'Raw Data'!BJ:BJ),"")</f>
        <v/>
      </c>
      <c r="Z300" s="227" t="str">
        <f>IFERROR(_xlfn.XLOOKUP($A300,'Raw Data'!$A:$A,'Raw Data'!BK:BK),"")</f>
        <v/>
      </c>
      <c r="AA300" s="227" t="str">
        <f>IFERROR(_xlfn.XLOOKUP($A300,'Raw Data'!$A:$A,'Raw Data'!BL:BL),"")</f>
        <v/>
      </c>
      <c r="AB300" s="227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27">
        <f>IFERROR(_xlfn.XLOOKUP($D300,'Modelling New'!$D:$D,'Modelling New'!$T:$T)*1000,"")</f>
        <v>114636.64210349345</v>
      </c>
      <c r="AE300" s="234">
        <f>IFERROR(_xlfn.XLOOKUP($D300,'Modelling New'!$D:$D,'Modelling New'!$O:$O),"")</f>
        <v>0.69465853509305142</v>
      </c>
      <c r="AF300" s="234">
        <f>IFERROR(_xlfn.XLOOKUP($D300,'Modelling New'!$D:$D,'Modelling New'!$W:$W),"")</f>
        <v>0.19653981402834317</v>
      </c>
      <c r="AG300" s="234">
        <f>IFERROR(_xlfn.XLOOKUP($D300,'Modelling New'!$D:$D,'Modelling New'!AE:AE),"")</f>
        <v>0.995</v>
      </c>
      <c r="AH300" s="234">
        <v>0.99750000000000005</v>
      </c>
      <c r="AI300" s="6"/>
      <c r="AJ300" s="6"/>
      <c r="AK300" s="6"/>
      <c r="AL300" s="6"/>
      <c r="AM300" s="6"/>
      <c r="AN300" s="231"/>
      <c r="AO300" s="234"/>
      <c r="AP300" s="234"/>
      <c r="AQ300" s="234"/>
      <c r="AR300" s="227">
        <f>IFERROR(_xlfn.XLOOKUP($D300,'Modelling New'!$D:$D,'Modelling New'!$N:$N),"")</f>
        <v>24.303100000000001</v>
      </c>
      <c r="AS300" s="227"/>
    </row>
    <row r="301" spans="1:45" x14ac:dyDescent="0.35">
      <c r="A301" s="226">
        <f t="shared" si="22"/>
        <v>46044</v>
      </c>
      <c r="B301" s="227">
        <f>YEAR(Daily_KPI[[#This Row],[Date]])+IF(MONTH(Daily_KPI[[#This Row],[Date]])&gt;=4,1,0)</f>
        <v>2026</v>
      </c>
      <c r="C301" s="6">
        <f>YEAR(Daily_KPI[[#This Row],[Date]])</f>
        <v>2026</v>
      </c>
      <c r="D301" s="228">
        <f>Daily_KPI[[#This Row],[Date]]-DAY(Daily_KPI[[#This Row],[Date]])+1</f>
        <v>46023</v>
      </c>
      <c r="E301" s="6">
        <f t="shared" si="20"/>
        <v>31</v>
      </c>
      <c r="F301" s="229" t="str">
        <f>IFERROR(_xlfn.XLOOKUP($A301,'Raw Data'!$A:$A,'Raw Data'!$BR:$BR),"")</f>
        <v/>
      </c>
      <c r="G301" s="230" t="str">
        <f>IFERROR(_xlfn.XLOOKUP($A301,'Raw Data'!$A:$A,'Raw Data'!$AO:$AO),"")</f>
        <v/>
      </c>
      <c r="H301" s="230"/>
      <c r="I301" s="230" t="str">
        <f>IFERROR(_xlfn.XLOOKUP($A301,'Raw Data'!$A:$A,'Raw Data'!$AR:$AR),"")</f>
        <v/>
      </c>
      <c r="J301" s="230"/>
      <c r="K301" s="230" t="str">
        <f>IFERROR(_xlfn.XLOOKUP($A301,'Raw Data'!$A:$A,'Raw Data'!$AV:$AV),"")</f>
        <v/>
      </c>
      <c r="L301" s="230" t="str">
        <f>IFERROR(_xlfn.XLOOKUP($A301,'Raw Data'!$A:$A,'Raw Data'!$AW:$AW),"")</f>
        <v/>
      </c>
      <c r="M301" s="230" t="str">
        <f>IFERROR(_xlfn.XLOOKUP($A301,'Raw Data'!$A:$A,'Raw Data'!$AX:$AX),"")</f>
        <v/>
      </c>
      <c r="N301" s="230" t="str">
        <f>IFERROR(_xlfn.XLOOKUP($A301,'Raw Data'!$A:$A,'Raw Data'!$AY:$AY),"")</f>
        <v/>
      </c>
      <c r="O301" s="231" t="str">
        <f>IFERROR(1-(SUMIF('Plant BD'!$B:$B,A301,'Plant BD'!$AE:$AE)/(AA301+SUMIF('Plant BD'!$B:$B,A301,'Plant BD'!$AE:$AE))),"")</f>
        <v/>
      </c>
      <c r="P301" s="231"/>
      <c r="Q301" s="232"/>
      <c r="R301" s="231" t="str">
        <f>IFERROR(1-(SUMIF('Grid BD'!$B:$B,$A301,'Grid BD'!$AD:$AD)/($AA301+SUMIF('Grid BD'!$B:$B,$A301,'Grid BD'!AD:AD))),"")</f>
        <v/>
      </c>
      <c r="S301" s="6"/>
      <c r="T301" s="232"/>
      <c r="U301" s="233" t="str">
        <f t="shared" si="21"/>
        <v/>
      </c>
      <c r="V301" s="233"/>
      <c r="W301" s="234" t="str">
        <f t="shared" si="23"/>
        <v/>
      </c>
      <c r="X301" s="227" t="str">
        <f>IFERROR(_xlfn.XLOOKUP($A301,'Raw Data'!$A:$A,'Raw Data'!$BA:$BA),"")</f>
        <v/>
      </c>
      <c r="Y301" s="227" t="str">
        <f>IFERROR(_xlfn.XLOOKUP($A301,'Raw Data'!$A:$A,'Raw Data'!BJ:BJ),"")</f>
        <v/>
      </c>
      <c r="Z301" s="227" t="str">
        <f>IFERROR(_xlfn.XLOOKUP($A301,'Raw Data'!$A:$A,'Raw Data'!BK:BK),"")</f>
        <v/>
      </c>
      <c r="AA301" s="227" t="str">
        <f>IFERROR(_xlfn.XLOOKUP($A301,'Raw Data'!$A:$A,'Raw Data'!BL:BL),"")</f>
        <v/>
      </c>
      <c r="AB301" s="227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27">
        <f>IFERROR(_xlfn.XLOOKUP($D301,'Modelling New'!$D:$D,'Modelling New'!$T:$T)*1000,"")</f>
        <v>114636.64210349345</v>
      </c>
      <c r="AE301" s="234">
        <f>IFERROR(_xlfn.XLOOKUP($D301,'Modelling New'!$D:$D,'Modelling New'!$O:$O),"")</f>
        <v>0.69465853509305142</v>
      </c>
      <c r="AF301" s="234">
        <f>IFERROR(_xlfn.XLOOKUP($D301,'Modelling New'!$D:$D,'Modelling New'!$W:$W),"")</f>
        <v>0.19653981402834317</v>
      </c>
      <c r="AG301" s="234">
        <f>IFERROR(_xlfn.XLOOKUP($D301,'Modelling New'!$D:$D,'Modelling New'!AE:AE),"")</f>
        <v>0.995</v>
      </c>
      <c r="AH301" s="234">
        <v>0.99750000000000005</v>
      </c>
      <c r="AI301" s="6"/>
      <c r="AJ301" s="6"/>
      <c r="AK301" s="6"/>
      <c r="AL301" s="6"/>
      <c r="AM301" s="6"/>
      <c r="AN301" s="231"/>
      <c r="AO301" s="234"/>
      <c r="AP301" s="234"/>
      <c r="AQ301" s="234"/>
      <c r="AR301" s="227">
        <f>IFERROR(_xlfn.XLOOKUP($D301,'Modelling New'!$D:$D,'Modelling New'!$N:$N),"")</f>
        <v>24.303100000000001</v>
      </c>
      <c r="AS301" s="227"/>
    </row>
    <row r="302" spans="1:45" x14ac:dyDescent="0.35">
      <c r="A302" s="226">
        <f t="shared" si="22"/>
        <v>46045</v>
      </c>
      <c r="B302" s="227">
        <f>YEAR(Daily_KPI[[#This Row],[Date]])+IF(MONTH(Daily_KPI[[#This Row],[Date]])&gt;=4,1,0)</f>
        <v>2026</v>
      </c>
      <c r="C302" s="6">
        <f>YEAR(Daily_KPI[[#This Row],[Date]])</f>
        <v>2026</v>
      </c>
      <c r="D302" s="228">
        <f>Daily_KPI[[#This Row],[Date]]-DAY(Daily_KPI[[#This Row],[Date]])+1</f>
        <v>46023</v>
      </c>
      <c r="E302" s="6">
        <f t="shared" si="20"/>
        <v>31</v>
      </c>
      <c r="F302" s="229" t="str">
        <f>IFERROR(_xlfn.XLOOKUP($A302,'Raw Data'!$A:$A,'Raw Data'!$BR:$BR),"")</f>
        <v/>
      </c>
      <c r="G302" s="230" t="str">
        <f>IFERROR(_xlfn.XLOOKUP($A302,'Raw Data'!$A:$A,'Raw Data'!$AO:$AO),"")</f>
        <v/>
      </c>
      <c r="H302" s="230"/>
      <c r="I302" s="230" t="str">
        <f>IFERROR(_xlfn.XLOOKUP($A302,'Raw Data'!$A:$A,'Raw Data'!$AR:$AR),"")</f>
        <v/>
      </c>
      <c r="J302" s="230"/>
      <c r="K302" s="230" t="str">
        <f>IFERROR(_xlfn.XLOOKUP($A302,'Raw Data'!$A:$A,'Raw Data'!$AV:$AV),"")</f>
        <v/>
      </c>
      <c r="L302" s="230" t="str">
        <f>IFERROR(_xlfn.XLOOKUP($A302,'Raw Data'!$A:$A,'Raw Data'!$AW:$AW),"")</f>
        <v/>
      </c>
      <c r="M302" s="230" t="str">
        <f>IFERROR(_xlfn.XLOOKUP($A302,'Raw Data'!$A:$A,'Raw Data'!$AX:$AX),"")</f>
        <v/>
      </c>
      <c r="N302" s="230" t="str">
        <f>IFERROR(_xlfn.XLOOKUP($A302,'Raw Data'!$A:$A,'Raw Data'!$AY:$AY),"")</f>
        <v/>
      </c>
      <c r="O302" s="231" t="str">
        <f>IFERROR(1-(SUMIF('Plant BD'!$B:$B,A302,'Plant BD'!$AE:$AE)/(AA302+SUMIF('Plant BD'!$B:$B,A302,'Plant BD'!$AE:$AE))),"")</f>
        <v/>
      </c>
      <c r="P302" s="231"/>
      <c r="Q302" s="232"/>
      <c r="R302" s="231" t="str">
        <f>IFERROR(1-(SUMIF('Grid BD'!$B:$B,$A302,'Grid BD'!$AD:$AD)/($AA302+SUMIF('Grid BD'!$B:$B,$A302,'Grid BD'!AD:AD))),"")</f>
        <v/>
      </c>
      <c r="S302" s="6"/>
      <c r="T302" s="232"/>
      <c r="U302" s="233" t="str">
        <f t="shared" si="21"/>
        <v/>
      </c>
      <c r="V302" s="233"/>
      <c r="W302" s="234" t="str">
        <f t="shared" si="23"/>
        <v/>
      </c>
      <c r="X302" s="227" t="str">
        <f>IFERROR(_xlfn.XLOOKUP($A302,'Raw Data'!$A:$A,'Raw Data'!$BA:$BA),"")</f>
        <v/>
      </c>
      <c r="Y302" s="227" t="str">
        <f>IFERROR(_xlfn.XLOOKUP($A302,'Raw Data'!$A:$A,'Raw Data'!BJ:BJ),"")</f>
        <v/>
      </c>
      <c r="Z302" s="227" t="str">
        <f>IFERROR(_xlfn.XLOOKUP($A302,'Raw Data'!$A:$A,'Raw Data'!BK:BK),"")</f>
        <v/>
      </c>
      <c r="AA302" s="227" t="str">
        <f>IFERROR(_xlfn.XLOOKUP($A302,'Raw Data'!$A:$A,'Raw Data'!BL:BL),"")</f>
        <v/>
      </c>
      <c r="AB302" s="227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27">
        <f>IFERROR(_xlfn.XLOOKUP($D302,'Modelling New'!$D:$D,'Modelling New'!$T:$T)*1000,"")</f>
        <v>114636.64210349345</v>
      </c>
      <c r="AE302" s="234">
        <f>IFERROR(_xlfn.XLOOKUP($D302,'Modelling New'!$D:$D,'Modelling New'!$O:$O),"")</f>
        <v>0.69465853509305142</v>
      </c>
      <c r="AF302" s="234">
        <f>IFERROR(_xlfn.XLOOKUP($D302,'Modelling New'!$D:$D,'Modelling New'!$W:$W),"")</f>
        <v>0.19653981402834317</v>
      </c>
      <c r="AG302" s="234">
        <f>IFERROR(_xlfn.XLOOKUP($D302,'Modelling New'!$D:$D,'Modelling New'!AE:AE),"")</f>
        <v>0.995</v>
      </c>
      <c r="AH302" s="234">
        <v>0.99750000000000005</v>
      </c>
      <c r="AI302" s="6"/>
      <c r="AJ302" s="6"/>
      <c r="AK302" s="6"/>
      <c r="AL302" s="6"/>
      <c r="AM302" s="6"/>
      <c r="AN302" s="231"/>
      <c r="AO302" s="234"/>
      <c r="AP302" s="234"/>
      <c r="AQ302" s="234"/>
      <c r="AR302" s="227">
        <f>IFERROR(_xlfn.XLOOKUP($D302,'Modelling New'!$D:$D,'Modelling New'!$N:$N),"")</f>
        <v>24.303100000000001</v>
      </c>
      <c r="AS302" s="227"/>
    </row>
    <row r="303" spans="1:45" x14ac:dyDescent="0.35">
      <c r="A303" s="226">
        <f t="shared" si="22"/>
        <v>46046</v>
      </c>
      <c r="B303" s="227">
        <f>YEAR(Daily_KPI[[#This Row],[Date]])+IF(MONTH(Daily_KPI[[#This Row],[Date]])&gt;=4,1,0)</f>
        <v>2026</v>
      </c>
      <c r="C303" s="6">
        <f>YEAR(Daily_KPI[[#This Row],[Date]])</f>
        <v>2026</v>
      </c>
      <c r="D303" s="228">
        <f>Daily_KPI[[#This Row],[Date]]-DAY(Daily_KPI[[#This Row],[Date]])+1</f>
        <v>46023</v>
      </c>
      <c r="E303" s="6">
        <f t="shared" si="20"/>
        <v>31</v>
      </c>
      <c r="F303" s="229" t="str">
        <f>IFERROR(_xlfn.XLOOKUP($A303,'Raw Data'!$A:$A,'Raw Data'!$BR:$BR),"")</f>
        <v/>
      </c>
      <c r="G303" s="230" t="str">
        <f>IFERROR(_xlfn.XLOOKUP($A303,'Raw Data'!$A:$A,'Raw Data'!$AO:$AO),"")</f>
        <v/>
      </c>
      <c r="H303" s="230"/>
      <c r="I303" s="230" t="str">
        <f>IFERROR(_xlfn.XLOOKUP($A303,'Raw Data'!$A:$A,'Raw Data'!$AR:$AR),"")</f>
        <v/>
      </c>
      <c r="J303" s="230"/>
      <c r="K303" s="230" t="str">
        <f>IFERROR(_xlfn.XLOOKUP($A303,'Raw Data'!$A:$A,'Raw Data'!$AV:$AV),"")</f>
        <v/>
      </c>
      <c r="L303" s="230" t="str">
        <f>IFERROR(_xlfn.XLOOKUP($A303,'Raw Data'!$A:$A,'Raw Data'!$AW:$AW),"")</f>
        <v/>
      </c>
      <c r="M303" s="230" t="str">
        <f>IFERROR(_xlfn.XLOOKUP($A303,'Raw Data'!$A:$A,'Raw Data'!$AX:$AX),"")</f>
        <v/>
      </c>
      <c r="N303" s="230" t="str">
        <f>IFERROR(_xlfn.XLOOKUP($A303,'Raw Data'!$A:$A,'Raw Data'!$AY:$AY),"")</f>
        <v/>
      </c>
      <c r="O303" s="231" t="str">
        <f>IFERROR(1-(SUMIF('Plant BD'!$B:$B,A303,'Plant BD'!$AE:$AE)/(AA303+SUMIF('Plant BD'!$B:$B,A303,'Plant BD'!$AE:$AE))),"")</f>
        <v/>
      </c>
      <c r="P303" s="231"/>
      <c r="Q303" s="232"/>
      <c r="R303" s="231" t="str">
        <f>IFERROR(1-(SUMIF('Grid BD'!$B:$B,$A303,'Grid BD'!$AD:$AD)/($AA303+SUMIF('Grid BD'!$B:$B,$A303,'Grid BD'!AD:AD))),"")</f>
        <v/>
      </c>
      <c r="S303" s="6"/>
      <c r="T303" s="232"/>
      <c r="U303" s="233" t="str">
        <f t="shared" si="21"/>
        <v/>
      </c>
      <c r="V303" s="233"/>
      <c r="W303" s="234" t="str">
        <f t="shared" si="23"/>
        <v/>
      </c>
      <c r="X303" s="227" t="str">
        <f>IFERROR(_xlfn.XLOOKUP($A303,'Raw Data'!$A:$A,'Raw Data'!$BA:$BA),"")</f>
        <v/>
      </c>
      <c r="Y303" s="227" t="str">
        <f>IFERROR(_xlfn.XLOOKUP($A303,'Raw Data'!$A:$A,'Raw Data'!BJ:BJ),"")</f>
        <v/>
      </c>
      <c r="Z303" s="227" t="str">
        <f>IFERROR(_xlfn.XLOOKUP($A303,'Raw Data'!$A:$A,'Raw Data'!BK:BK),"")</f>
        <v/>
      </c>
      <c r="AA303" s="227" t="str">
        <f>IFERROR(_xlfn.XLOOKUP($A303,'Raw Data'!$A:$A,'Raw Data'!BL:BL),"")</f>
        <v/>
      </c>
      <c r="AB303" s="227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27">
        <f>IFERROR(_xlfn.XLOOKUP($D303,'Modelling New'!$D:$D,'Modelling New'!$T:$T)*1000,"")</f>
        <v>114636.64210349345</v>
      </c>
      <c r="AE303" s="234">
        <f>IFERROR(_xlfn.XLOOKUP($D303,'Modelling New'!$D:$D,'Modelling New'!$O:$O),"")</f>
        <v>0.69465853509305142</v>
      </c>
      <c r="AF303" s="234">
        <f>IFERROR(_xlfn.XLOOKUP($D303,'Modelling New'!$D:$D,'Modelling New'!$W:$W),"")</f>
        <v>0.19653981402834317</v>
      </c>
      <c r="AG303" s="234">
        <f>IFERROR(_xlfn.XLOOKUP($D303,'Modelling New'!$D:$D,'Modelling New'!AE:AE),"")</f>
        <v>0.995</v>
      </c>
      <c r="AH303" s="234">
        <v>0.99750000000000005</v>
      </c>
      <c r="AI303" s="6"/>
      <c r="AJ303" s="6"/>
      <c r="AK303" s="6"/>
      <c r="AL303" s="6"/>
      <c r="AM303" s="6"/>
      <c r="AN303" s="231"/>
      <c r="AO303" s="234"/>
      <c r="AP303" s="234"/>
      <c r="AQ303" s="234"/>
      <c r="AR303" s="227">
        <f>IFERROR(_xlfn.XLOOKUP($D303,'Modelling New'!$D:$D,'Modelling New'!$N:$N),"")</f>
        <v>24.303100000000001</v>
      </c>
      <c r="AS303" s="227"/>
    </row>
    <row r="304" spans="1:45" x14ac:dyDescent="0.35">
      <c r="A304" s="226">
        <f t="shared" si="22"/>
        <v>46047</v>
      </c>
      <c r="B304" s="227">
        <f>YEAR(Daily_KPI[[#This Row],[Date]])+IF(MONTH(Daily_KPI[[#This Row],[Date]])&gt;=4,1,0)</f>
        <v>2026</v>
      </c>
      <c r="C304" s="6">
        <f>YEAR(Daily_KPI[[#This Row],[Date]])</f>
        <v>2026</v>
      </c>
      <c r="D304" s="228">
        <f>Daily_KPI[[#This Row],[Date]]-DAY(Daily_KPI[[#This Row],[Date]])+1</f>
        <v>46023</v>
      </c>
      <c r="E304" s="6">
        <f t="shared" si="20"/>
        <v>31</v>
      </c>
      <c r="F304" s="229" t="str">
        <f>IFERROR(_xlfn.XLOOKUP($A304,'Raw Data'!$A:$A,'Raw Data'!$BR:$BR),"")</f>
        <v/>
      </c>
      <c r="G304" s="230" t="str">
        <f>IFERROR(_xlfn.XLOOKUP($A304,'Raw Data'!$A:$A,'Raw Data'!$AO:$AO),"")</f>
        <v/>
      </c>
      <c r="H304" s="230"/>
      <c r="I304" s="230" t="str">
        <f>IFERROR(_xlfn.XLOOKUP($A304,'Raw Data'!$A:$A,'Raw Data'!$AR:$AR),"")</f>
        <v/>
      </c>
      <c r="J304" s="230"/>
      <c r="K304" s="230" t="str">
        <f>IFERROR(_xlfn.XLOOKUP($A304,'Raw Data'!$A:$A,'Raw Data'!$AV:$AV),"")</f>
        <v/>
      </c>
      <c r="L304" s="230" t="str">
        <f>IFERROR(_xlfn.XLOOKUP($A304,'Raw Data'!$A:$A,'Raw Data'!$AW:$AW),"")</f>
        <v/>
      </c>
      <c r="M304" s="230" t="str">
        <f>IFERROR(_xlfn.XLOOKUP($A304,'Raw Data'!$A:$A,'Raw Data'!$AX:$AX),"")</f>
        <v/>
      </c>
      <c r="N304" s="230" t="str">
        <f>IFERROR(_xlfn.XLOOKUP($A304,'Raw Data'!$A:$A,'Raw Data'!$AY:$AY),"")</f>
        <v/>
      </c>
      <c r="O304" s="231" t="str">
        <f>IFERROR(1-(SUMIF('Plant BD'!$B:$B,A304,'Plant BD'!$AE:$AE)/(AA304+SUMIF('Plant BD'!$B:$B,A304,'Plant BD'!$AE:$AE))),"")</f>
        <v/>
      </c>
      <c r="P304" s="231"/>
      <c r="Q304" s="232"/>
      <c r="R304" s="231" t="str">
        <f>IFERROR(1-(SUMIF('Grid BD'!$B:$B,$A304,'Grid BD'!$AD:$AD)/($AA304+SUMIF('Grid BD'!$B:$B,$A304,'Grid BD'!AD:AD))),"")</f>
        <v/>
      </c>
      <c r="S304" s="6"/>
      <c r="T304" s="232"/>
      <c r="U304" s="233" t="str">
        <f t="shared" si="21"/>
        <v/>
      </c>
      <c r="V304" s="233"/>
      <c r="W304" s="234" t="str">
        <f t="shared" si="23"/>
        <v/>
      </c>
      <c r="X304" s="227" t="str">
        <f>IFERROR(_xlfn.XLOOKUP($A304,'Raw Data'!$A:$A,'Raw Data'!$BA:$BA),"")</f>
        <v/>
      </c>
      <c r="Y304" s="227" t="str">
        <f>IFERROR(_xlfn.XLOOKUP($A304,'Raw Data'!$A:$A,'Raw Data'!BJ:BJ),"")</f>
        <v/>
      </c>
      <c r="Z304" s="227" t="str">
        <f>IFERROR(_xlfn.XLOOKUP($A304,'Raw Data'!$A:$A,'Raw Data'!BK:BK),"")</f>
        <v/>
      </c>
      <c r="AA304" s="227" t="str">
        <f>IFERROR(_xlfn.XLOOKUP($A304,'Raw Data'!$A:$A,'Raw Data'!BL:BL),"")</f>
        <v/>
      </c>
      <c r="AB304" s="227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27">
        <f>IFERROR(_xlfn.XLOOKUP($D304,'Modelling New'!$D:$D,'Modelling New'!$T:$T)*1000,"")</f>
        <v>114636.64210349345</v>
      </c>
      <c r="AE304" s="234">
        <f>IFERROR(_xlfn.XLOOKUP($D304,'Modelling New'!$D:$D,'Modelling New'!$O:$O),"")</f>
        <v>0.69465853509305142</v>
      </c>
      <c r="AF304" s="234">
        <f>IFERROR(_xlfn.XLOOKUP($D304,'Modelling New'!$D:$D,'Modelling New'!$W:$W),"")</f>
        <v>0.19653981402834317</v>
      </c>
      <c r="AG304" s="234">
        <f>IFERROR(_xlfn.XLOOKUP($D304,'Modelling New'!$D:$D,'Modelling New'!AE:AE),"")</f>
        <v>0.995</v>
      </c>
      <c r="AH304" s="234">
        <v>0.99750000000000005</v>
      </c>
      <c r="AI304" s="6"/>
      <c r="AJ304" s="6"/>
      <c r="AK304" s="6"/>
      <c r="AL304" s="6"/>
      <c r="AM304" s="6"/>
      <c r="AN304" s="231"/>
      <c r="AO304" s="234"/>
      <c r="AP304" s="234"/>
      <c r="AQ304" s="234"/>
      <c r="AR304" s="227">
        <f>IFERROR(_xlfn.XLOOKUP($D304,'Modelling New'!$D:$D,'Modelling New'!$N:$N),"")</f>
        <v>24.303100000000001</v>
      </c>
      <c r="AS304" s="227"/>
    </row>
    <row r="305" spans="1:45" x14ac:dyDescent="0.35">
      <c r="A305" s="226">
        <f t="shared" si="22"/>
        <v>46048</v>
      </c>
      <c r="B305" s="227">
        <f>YEAR(Daily_KPI[[#This Row],[Date]])+IF(MONTH(Daily_KPI[[#This Row],[Date]])&gt;=4,1,0)</f>
        <v>2026</v>
      </c>
      <c r="C305" s="6">
        <f>YEAR(Daily_KPI[[#This Row],[Date]])</f>
        <v>2026</v>
      </c>
      <c r="D305" s="228">
        <f>Daily_KPI[[#This Row],[Date]]-DAY(Daily_KPI[[#This Row],[Date]])+1</f>
        <v>46023</v>
      </c>
      <c r="E305" s="6">
        <f t="shared" si="20"/>
        <v>31</v>
      </c>
      <c r="F305" s="229" t="str">
        <f>IFERROR(_xlfn.XLOOKUP($A305,'Raw Data'!$A:$A,'Raw Data'!$BR:$BR),"")</f>
        <v/>
      </c>
      <c r="G305" s="230" t="str">
        <f>IFERROR(_xlfn.XLOOKUP($A305,'Raw Data'!$A:$A,'Raw Data'!$AO:$AO),"")</f>
        <v/>
      </c>
      <c r="H305" s="230"/>
      <c r="I305" s="230" t="str">
        <f>IFERROR(_xlfn.XLOOKUP($A305,'Raw Data'!$A:$A,'Raw Data'!$AR:$AR),"")</f>
        <v/>
      </c>
      <c r="J305" s="230"/>
      <c r="K305" s="230" t="str">
        <f>IFERROR(_xlfn.XLOOKUP($A305,'Raw Data'!$A:$A,'Raw Data'!$AV:$AV),"")</f>
        <v/>
      </c>
      <c r="L305" s="230" t="str">
        <f>IFERROR(_xlfn.XLOOKUP($A305,'Raw Data'!$A:$A,'Raw Data'!$AW:$AW),"")</f>
        <v/>
      </c>
      <c r="M305" s="230" t="str">
        <f>IFERROR(_xlfn.XLOOKUP($A305,'Raw Data'!$A:$A,'Raw Data'!$AX:$AX),"")</f>
        <v/>
      </c>
      <c r="N305" s="230" t="str">
        <f>IFERROR(_xlfn.XLOOKUP($A305,'Raw Data'!$A:$A,'Raw Data'!$AY:$AY),"")</f>
        <v/>
      </c>
      <c r="O305" s="231" t="str">
        <f>IFERROR(1-(SUMIF('Plant BD'!$B:$B,A305,'Plant BD'!$AE:$AE)/(AA305+SUMIF('Plant BD'!$B:$B,A305,'Plant BD'!$AE:$AE))),"")</f>
        <v/>
      </c>
      <c r="P305" s="231"/>
      <c r="Q305" s="232"/>
      <c r="R305" s="231" t="str">
        <f>IFERROR(1-(SUMIF('Grid BD'!$B:$B,$A305,'Grid BD'!$AD:$AD)/($AA305+SUMIF('Grid BD'!$B:$B,$A305,'Grid BD'!AD:AD))),"")</f>
        <v/>
      </c>
      <c r="S305" s="6"/>
      <c r="T305" s="232"/>
      <c r="U305" s="233" t="str">
        <f t="shared" si="21"/>
        <v/>
      </c>
      <c r="V305" s="233"/>
      <c r="W305" s="234" t="str">
        <f t="shared" si="23"/>
        <v/>
      </c>
      <c r="X305" s="227" t="str">
        <f>IFERROR(_xlfn.XLOOKUP($A305,'Raw Data'!$A:$A,'Raw Data'!$BA:$BA),"")</f>
        <v/>
      </c>
      <c r="Y305" s="227" t="str">
        <f>IFERROR(_xlfn.XLOOKUP($A305,'Raw Data'!$A:$A,'Raw Data'!BJ:BJ),"")</f>
        <v/>
      </c>
      <c r="Z305" s="227" t="str">
        <f>IFERROR(_xlfn.XLOOKUP($A305,'Raw Data'!$A:$A,'Raw Data'!BK:BK),"")</f>
        <v/>
      </c>
      <c r="AA305" s="227" t="str">
        <f>IFERROR(_xlfn.XLOOKUP($A305,'Raw Data'!$A:$A,'Raw Data'!BL:BL),"")</f>
        <v/>
      </c>
      <c r="AB305" s="227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27">
        <f>IFERROR(_xlfn.XLOOKUP($D305,'Modelling New'!$D:$D,'Modelling New'!$T:$T)*1000,"")</f>
        <v>114636.64210349345</v>
      </c>
      <c r="AE305" s="234">
        <f>IFERROR(_xlfn.XLOOKUP($D305,'Modelling New'!$D:$D,'Modelling New'!$O:$O),"")</f>
        <v>0.69465853509305142</v>
      </c>
      <c r="AF305" s="234">
        <f>IFERROR(_xlfn.XLOOKUP($D305,'Modelling New'!$D:$D,'Modelling New'!$W:$W),"")</f>
        <v>0.19653981402834317</v>
      </c>
      <c r="AG305" s="234">
        <f>IFERROR(_xlfn.XLOOKUP($D305,'Modelling New'!$D:$D,'Modelling New'!AE:AE),"")</f>
        <v>0.995</v>
      </c>
      <c r="AH305" s="234">
        <v>0.99750000000000005</v>
      </c>
      <c r="AI305" s="6"/>
      <c r="AJ305" s="6"/>
      <c r="AK305" s="6"/>
      <c r="AL305" s="6"/>
      <c r="AM305" s="6"/>
      <c r="AN305" s="231"/>
      <c r="AO305" s="234"/>
      <c r="AP305" s="234"/>
      <c r="AQ305" s="234"/>
      <c r="AR305" s="227">
        <f>IFERROR(_xlfn.XLOOKUP($D305,'Modelling New'!$D:$D,'Modelling New'!$N:$N),"")</f>
        <v>24.303100000000001</v>
      </c>
      <c r="AS305" s="227"/>
    </row>
    <row r="306" spans="1:45" x14ac:dyDescent="0.35">
      <c r="A306" s="226">
        <f t="shared" si="22"/>
        <v>46049</v>
      </c>
      <c r="B306" s="227">
        <f>YEAR(Daily_KPI[[#This Row],[Date]])+IF(MONTH(Daily_KPI[[#This Row],[Date]])&gt;=4,1,0)</f>
        <v>2026</v>
      </c>
      <c r="C306" s="6">
        <f>YEAR(Daily_KPI[[#This Row],[Date]])</f>
        <v>2026</v>
      </c>
      <c r="D306" s="228">
        <f>Daily_KPI[[#This Row],[Date]]-DAY(Daily_KPI[[#This Row],[Date]])+1</f>
        <v>46023</v>
      </c>
      <c r="E306" s="6">
        <f t="shared" si="20"/>
        <v>31</v>
      </c>
      <c r="F306" s="229" t="str">
        <f>IFERROR(_xlfn.XLOOKUP($A306,'Raw Data'!$A:$A,'Raw Data'!$BR:$BR),"")</f>
        <v/>
      </c>
      <c r="G306" s="230" t="str">
        <f>IFERROR(_xlfn.XLOOKUP($A306,'Raw Data'!$A:$A,'Raw Data'!$AO:$AO),"")</f>
        <v/>
      </c>
      <c r="H306" s="230"/>
      <c r="I306" s="230" t="str">
        <f>IFERROR(_xlfn.XLOOKUP($A306,'Raw Data'!$A:$A,'Raw Data'!$AR:$AR),"")</f>
        <v/>
      </c>
      <c r="J306" s="230"/>
      <c r="K306" s="230" t="str">
        <f>IFERROR(_xlfn.XLOOKUP($A306,'Raw Data'!$A:$A,'Raw Data'!$AV:$AV),"")</f>
        <v/>
      </c>
      <c r="L306" s="230" t="str">
        <f>IFERROR(_xlfn.XLOOKUP($A306,'Raw Data'!$A:$A,'Raw Data'!$AW:$AW),"")</f>
        <v/>
      </c>
      <c r="M306" s="230" t="str">
        <f>IFERROR(_xlfn.XLOOKUP($A306,'Raw Data'!$A:$A,'Raw Data'!$AX:$AX),"")</f>
        <v/>
      </c>
      <c r="N306" s="230" t="str">
        <f>IFERROR(_xlfn.XLOOKUP($A306,'Raw Data'!$A:$A,'Raw Data'!$AY:$AY),"")</f>
        <v/>
      </c>
      <c r="O306" s="231" t="str">
        <f>IFERROR(1-(SUMIF('Plant BD'!$B:$B,A306,'Plant BD'!$AE:$AE)/(AA306+SUMIF('Plant BD'!$B:$B,A306,'Plant BD'!$AE:$AE))),"")</f>
        <v/>
      </c>
      <c r="P306" s="231"/>
      <c r="Q306" s="232"/>
      <c r="R306" s="231" t="str">
        <f>IFERROR(1-(SUMIF('Grid BD'!$B:$B,$A306,'Grid BD'!$AD:$AD)/($AA306+SUMIF('Grid BD'!$B:$B,$A306,'Grid BD'!AD:AD))),"")</f>
        <v/>
      </c>
      <c r="S306" s="6"/>
      <c r="T306" s="232"/>
      <c r="U306" s="233" t="str">
        <f t="shared" si="21"/>
        <v/>
      </c>
      <c r="V306" s="233"/>
      <c r="W306" s="234" t="str">
        <f t="shared" si="23"/>
        <v/>
      </c>
      <c r="X306" s="227" t="str">
        <f>IFERROR(_xlfn.XLOOKUP($A306,'Raw Data'!$A:$A,'Raw Data'!$BA:$BA),"")</f>
        <v/>
      </c>
      <c r="Y306" s="227" t="str">
        <f>IFERROR(_xlfn.XLOOKUP($A306,'Raw Data'!$A:$A,'Raw Data'!BJ:BJ),"")</f>
        <v/>
      </c>
      <c r="Z306" s="227" t="str">
        <f>IFERROR(_xlfn.XLOOKUP($A306,'Raw Data'!$A:$A,'Raw Data'!BK:BK),"")</f>
        <v/>
      </c>
      <c r="AA306" s="227" t="str">
        <f>IFERROR(_xlfn.XLOOKUP($A306,'Raw Data'!$A:$A,'Raw Data'!BL:BL),"")</f>
        <v/>
      </c>
      <c r="AB306" s="227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27">
        <f>IFERROR(_xlfn.XLOOKUP($D306,'Modelling New'!$D:$D,'Modelling New'!$T:$T)*1000,"")</f>
        <v>114636.64210349345</v>
      </c>
      <c r="AE306" s="234">
        <f>IFERROR(_xlfn.XLOOKUP($D306,'Modelling New'!$D:$D,'Modelling New'!$O:$O),"")</f>
        <v>0.69465853509305142</v>
      </c>
      <c r="AF306" s="234">
        <f>IFERROR(_xlfn.XLOOKUP($D306,'Modelling New'!$D:$D,'Modelling New'!$W:$W),"")</f>
        <v>0.19653981402834317</v>
      </c>
      <c r="AG306" s="234">
        <f>IFERROR(_xlfn.XLOOKUP($D306,'Modelling New'!$D:$D,'Modelling New'!AE:AE),"")</f>
        <v>0.995</v>
      </c>
      <c r="AH306" s="234">
        <v>0.99750000000000005</v>
      </c>
      <c r="AI306" s="6"/>
      <c r="AJ306" s="6"/>
      <c r="AK306" s="6"/>
      <c r="AL306" s="6"/>
      <c r="AM306" s="6"/>
      <c r="AN306" s="231"/>
      <c r="AO306" s="234"/>
      <c r="AP306" s="234"/>
      <c r="AQ306" s="234"/>
      <c r="AR306" s="227">
        <f>IFERROR(_xlfn.XLOOKUP($D306,'Modelling New'!$D:$D,'Modelling New'!$N:$N),"")</f>
        <v>24.303100000000001</v>
      </c>
      <c r="AS306" s="227"/>
    </row>
    <row r="307" spans="1:45" x14ac:dyDescent="0.35">
      <c r="A307" s="226">
        <f t="shared" si="22"/>
        <v>46050</v>
      </c>
      <c r="B307" s="227">
        <f>YEAR(Daily_KPI[[#This Row],[Date]])+IF(MONTH(Daily_KPI[[#This Row],[Date]])&gt;=4,1,0)</f>
        <v>2026</v>
      </c>
      <c r="C307" s="6">
        <f>YEAR(Daily_KPI[[#This Row],[Date]])</f>
        <v>2026</v>
      </c>
      <c r="D307" s="228">
        <f>Daily_KPI[[#This Row],[Date]]-DAY(Daily_KPI[[#This Row],[Date]])+1</f>
        <v>46023</v>
      </c>
      <c r="E307" s="6">
        <f t="shared" si="20"/>
        <v>31</v>
      </c>
      <c r="F307" s="229" t="str">
        <f>IFERROR(_xlfn.XLOOKUP($A307,'Raw Data'!$A:$A,'Raw Data'!$BR:$BR),"")</f>
        <v/>
      </c>
      <c r="G307" s="230" t="str">
        <f>IFERROR(_xlfn.XLOOKUP($A307,'Raw Data'!$A:$A,'Raw Data'!$AO:$AO),"")</f>
        <v/>
      </c>
      <c r="H307" s="230"/>
      <c r="I307" s="230" t="str">
        <f>IFERROR(_xlfn.XLOOKUP($A307,'Raw Data'!$A:$A,'Raw Data'!$AR:$AR),"")</f>
        <v/>
      </c>
      <c r="J307" s="230"/>
      <c r="K307" s="230" t="str">
        <f>IFERROR(_xlfn.XLOOKUP($A307,'Raw Data'!$A:$A,'Raw Data'!$AV:$AV),"")</f>
        <v/>
      </c>
      <c r="L307" s="230" t="str">
        <f>IFERROR(_xlfn.XLOOKUP($A307,'Raw Data'!$A:$A,'Raw Data'!$AW:$AW),"")</f>
        <v/>
      </c>
      <c r="M307" s="230" t="str">
        <f>IFERROR(_xlfn.XLOOKUP($A307,'Raw Data'!$A:$A,'Raw Data'!$AX:$AX),"")</f>
        <v/>
      </c>
      <c r="N307" s="230" t="str">
        <f>IFERROR(_xlfn.XLOOKUP($A307,'Raw Data'!$A:$A,'Raw Data'!$AY:$AY),"")</f>
        <v/>
      </c>
      <c r="O307" s="231" t="str">
        <f>IFERROR(1-(SUMIF('Plant BD'!$B:$B,A307,'Plant BD'!$AE:$AE)/(AA307+SUMIF('Plant BD'!$B:$B,A307,'Plant BD'!$AE:$AE))),"")</f>
        <v/>
      </c>
      <c r="P307" s="231"/>
      <c r="Q307" s="232"/>
      <c r="R307" s="231" t="str">
        <f>IFERROR(1-(SUMIF('Grid BD'!$B:$B,$A307,'Grid BD'!$AD:$AD)/($AA307+SUMIF('Grid BD'!$B:$B,$A307,'Grid BD'!AD:AD))),"")</f>
        <v/>
      </c>
      <c r="S307" s="6"/>
      <c r="T307" s="232"/>
      <c r="U307" s="233" t="str">
        <f t="shared" si="21"/>
        <v/>
      </c>
      <c r="V307" s="233"/>
      <c r="W307" s="234" t="str">
        <f t="shared" si="23"/>
        <v/>
      </c>
      <c r="X307" s="227" t="str">
        <f>IFERROR(_xlfn.XLOOKUP($A307,'Raw Data'!$A:$A,'Raw Data'!$BA:$BA),"")</f>
        <v/>
      </c>
      <c r="Y307" s="227" t="str">
        <f>IFERROR(_xlfn.XLOOKUP($A307,'Raw Data'!$A:$A,'Raw Data'!BJ:BJ),"")</f>
        <v/>
      </c>
      <c r="Z307" s="227" t="str">
        <f>IFERROR(_xlfn.XLOOKUP($A307,'Raw Data'!$A:$A,'Raw Data'!BK:BK),"")</f>
        <v/>
      </c>
      <c r="AA307" s="227" t="str">
        <f>IFERROR(_xlfn.XLOOKUP($A307,'Raw Data'!$A:$A,'Raw Data'!BL:BL),"")</f>
        <v/>
      </c>
      <c r="AB307" s="227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27">
        <f>IFERROR(_xlfn.XLOOKUP($D307,'Modelling New'!$D:$D,'Modelling New'!$T:$T)*1000,"")</f>
        <v>114636.64210349345</v>
      </c>
      <c r="AE307" s="234">
        <f>IFERROR(_xlfn.XLOOKUP($D307,'Modelling New'!$D:$D,'Modelling New'!$O:$O),"")</f>
        <v>0.69465853509305142</v>
      </c>
      <c r="AF307" s="234">
        <f>IFERROR(_xlfn.XLOOKUP($D307,'Modelling New'!$D:$D,'Modelling New'!$W:$W),"")</f>
        <v>0.19653981402834317</v>
      </c>
      <c r="AG307" s="234">
        <f>IFERROR(_xlfn.XLOOKUP($D307,'Modelling New'!$D:$D,'Modelling New'!AE:AE),"")</f>
        <v>0.995</v>
      </c>
      <c r="AH307" s="234">
        <v>0.99750000000000005</v>
      </c>
      <c r="AI307" s="6"/>
      <c r="AJ307" s="6"/>
      <c r="AK307" s="6"/>
      <c r="AL307" s="6"/>
      <c r="AM307" s="6"/>
      <c r="AN307" s="231"/>
      <c r="AO307" s="234"/>
      <c r="AP307" s="234"/>
      <c r="AQ307" s="234"/>
      <c r="AR307" s="227">
        <f>IFERROR(_xlfn.XLOOKUP($D307,'Modelling New'!$D:$D,'Modelling New'!$N:$N),"")</f>
        <v>24.303100000000001</v>
      </c>
      <c r="AS307" s="227"/>
    </row>
    <row r="308" spans="1:45" x14ac:dyDescent="0.35">
      <c r="A308" s="226">
        <f t="shared" si="22"/>
        <v>46051</v>
      </c>
      <c r="B308" s="227">
        <f>YEAR(Daily_KPI[[#This Row],[Date]])+IF(MONTH(Daily_KPI[[#This Row],[Date]])&gt;=4,1,0)</f>
        <v>2026</v>
      </c>
      <c r="C308" s="6">
        <f>YEAR(Daily_KPI[[#This Row],[Date]])</f>
        <v>2026</v>
      </c>
      <c r="D308" s="228">
        <f>Daily_KPI[[#This Row],[Date]]-DAY(Daily_KPI[[#This Row],[Date]])+1</f>
        <v>46023</v>
      </c>
      <c r="E308" s="6">
        <f t="shared" si="20"/>
        <v>31</v>
      </c>
      <c r="F308" s="229" t="str">
        <f>IFERROR(_xlfn.XLOOKUP($A308,'Raw Data'!$A:$A,'Raw Data'!$BR:$BR),"")</f>
        <v/>
      </c>
      <c r="G308" s="230" t="str">
        <f>IFERROR(_xlfn.XLOOKUP($A308,'Raw Data'!$A:$A,'Raw Data'!$AO:$AO),"")</f>
        <v/>
      </c>
      <c r="H308" s="230"/>
      <c r="I308" s="230" t="str">
        <f>IFERROR(_xlfn.XLOOKUP($A308,'Raw Data'!$A:$A,'Raw Data'!$AR:$AR),"")</f>
        <v/>
      </c>
      <c r="J308" s="230"/>
      <c r="K308" s="230" t="str">
        <f>IFERROR(_xlfn.XLOOKUP($A308,'Raw Data'!$A:$A,'Raw Data'!$AV:$AV),"")</f>
        <v/>
      </c>
      <c r="L308" s="230" t="str">
        <f>IFERROR(_xlfn.XLOOKUP($A308,'Raw Data'!$A:$A,'Raw Data'!$AW:$AW),"")</f>
        <v/>
      </c>
      <c r="M308" s="230" t="str">
        <f>IFERROR(_xlfn.XLOOKUP($A308,'Raw Data'!$A:$A,'Raw Data'!$AX:$AX),"")</f>
        <v/>
      </c>
      <c r="N308" s="230" t="str">
        <f>IFERROR(_xlfn.XLOOKUP($A308,'Raw Data'!$A:$A,'Raw Data'!$AY:$AY),"")</f>
        <v/>
      </c>
      <c r="O308" s="231" t="str">
        <f>IFERROR(1-(SUMIF('Plant BD'!$B:$B,A308,'Plant BD'!$AE:$AE)/(AA308+SUMIF('Plant BD'!$B:$B,A308,'Plant BD'!$AE:$AE))),"")</f>
        <v/>
      </c>
      <c r="P308" s="231"/>
      <c r="Q308" s="232"/>
      <c r="R308" s="231" t="str">
        <f>IFERROR(1-(SUMIF('Grid BD'!$B:$B,$A308,'Grid BD'!$AD:$AD)/($AA308+SUMIF('Grid BD'!$B:$B,$A308,'Grid BD'!AD:AD))),"")</f>
        <v/>
      </c>
      <c r="S308" s="6"/>
      <c r="T308" s="232"/>
      <c r="U308" s="233" t="str">
        <f t="shared" si="21"/>
        <v/>
      </c>
      <c r="V308" s="233"/>
      <c r="W308" s="234" t="str">
        <f t="shared" si="23"/>
        <v/>
      </c>
      <c r="X308" s="227" t="str">
        <f>IFERROR(_xlfn.XLOOKUP($A308,'Raw Data'!$A:$A,'Raw Data'!$BA:$BA),"")</f>
        <v/>
      </c>
      <c r="Y308" s="227" t="str">
        <f>IFERROR(_xlfn.XLOOKUP($A308,'Raw Data'!$A:$A,'Raw Data'!BJ:BJ),"")</f>
        <v/>
      </c>
      <c r="Z308" s="227" t="str">
        <f>IFERROR(_xlfn.XLOOKUP($A308,'Raw Data'!$A:$A,'Raw Data'!BK:BK),"")</f>
        <v/>
      </c>
      <c r="AA308" s="227" t="str">
        <f>IFERROR(_xlfn.XLOOKUP($A308,'Raw Data'!$A:$A,'Raw Data'!BL:BL),"")</f>
        <v/>
      </c>
      <c r="AB308" s="227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27">
        <f>IFERROR(_xlfn.XLOOKUP($D308,'Modelling New'!$D:$D,'Modelling New'!$T:$T)*1000,"")</f>
        <v>114636.64210349345</v>
      </c>
      <c r="AE308" s="234">
        <f>IFERROR(_xlfn.XLOOKUP($D308,'Modelling New'!$D:$D,'Modelling New'!$O:$O),"")</f>
        <v>0.69465853509305142</v>
      </c>
      <c r="AF308" s="234">
        <f>IFERROR(_xlfn.XLOOKUP($D308,'Modelling New'!$D:$D,'Modelling New'!$W:$W),"")</f>
        <v>0.19653981402834317</v>
      </c>
      <c r="AG308" s="234">
        <f>IFERROR(_xlfn.XLOOKUP($D308,'Modelling New'!$D:$D,'Modelling New'!AE:AE),"")</f>
        <v>0.995</v>
      </c>
      <c r="AH308" s="234">
        <v>0.99750000000000005</v>
      </c>
      <c r="AI308" s="6"/>
      <c r="AJ308" s="6"/>
      <c r="AK308" s="6"/>
      <c r="AL308" s="6"/>
      <c r="AM308" s="6"/>
      <c r="AN308" s="231"/>
      <c r="AO308" s="234"/>
      <c r="AP308" s="234"/>
      <c r="AQ308" s="234"/>
      <c r="AR308" s="227">
        <f>IFERROR(_xlfn.XLOOKUP($D308,'Modelling New'!$D:$D,'Modelling New'!$N:$N),"")</f>
        <v>24.303100000000001</v>
      </c>
      <c r="AS308" s="227"/>
    </row>
    <row r="309" spans="1:45" x14ac:dyDescent="0.35">
      <c r="A309" s="226">
        <f t="shared" si="22"/>
        <v>46052</v>
      </c>
      <c r="B309" s="227">
        <f>YEAR(Daily_KPI[[#This Row],[Date]])+IF(MONTH(Daily_KPI[[#This Row],[Date]])&gt;=4,1,0)</f>
        <v>2026</v>
      </c>
      <c r="C309" s="6">
        <f>YEAR(Daily_KPI[[#This Row],[Date]])</f>
        <v>2026</v>
      </c>
      <c r="D309" s="228">
        <f>Daily_KPI[[#This Row],[Date]]-DAY(Daily_KPI[[#This Row],[Date]])+1</f>
        <v>46023</v>
      </c>
      <c r="E309" s="6">
        <f t="shared" ref="E309:E369" si="24">DAY(EOMONTH(A309,0))</f>
        <v>31</v>
      </c>
      <c r="F309" s="229" t="str">
        <f>IFERROR(_xlfn.XLOOKUP($A309,'Raw Data'!$A:$A,'Raw Data'!$BR:$BR),"")</f>
        <v/>
      </c>
      <c r="G309" s="230" t="str">
        <f>IFERROR(_xlfn.XLOOKUP($A309,'Raw Data'!$A:$A,'Raw Data'!$AO:$AO),"")</f>
        <v/>
      </c>
      <c r="H309" s="230"/>
      <c r="I309" s="230" t="str">
        <f>IFERROR(_xlfn.XLOOKUP($A309,'Raw Data'!$A:$A,'Raw Data'!$AR:$AR),"")</f>
        <v/>
      </c>
      <c r="J309" s="230"/>
      <c r="K309" s="230" t="str">
        <f>IFERROR(_xlfn.XLOOKUP($A309,'Raw Data'!$A:$A,'Raw Data'!$AV:$AV),"")</f>
        <v/>
      </c>
      <c r="L309" s="230" t="str">
        <f>IFERROR(_xlfn.XLOOKUP($A309,'Raw Data'!$A:$A,'Raw Data'!$AW:$AW),"")</f>
        <v/>
      </c>
      <c r="M309" s="230" t="str">
        <f>IFERROR(_xlfn.XLOOKUP($A309,'Raw Data'!$A:$A,'Raw Data'!$AX:$AX),"")</f>
        <v/>
      </c>
      <c r="N309" s="230" t="str">
        <f>IFERROR(_xlfn.XLOOKUP($A309,'Raw Data'!$A:$A,'Raw Data'!$AY:$AY),"")</f>
        <v/>
      </c>
      <c r="O309" s="231" t="str">
        <f>IFERROR(1-(SUMIF('Plant BD'!$B:$B,A309,'Plant BD'!$AE:$AE)/(AA309+SUMIF('Plant BD'!$B:$B,A309,'Plant BD'!$AE:$AE))),"")</f>
        <v/>
      </c>
      <c r="P309" s="231"/>
      <c r="Q309" s="232"/>
      <c r="R309" s="231" t="str">
        <f>IFERROR(1-(SUMIF('Grid BD'!$B:$B,$A309,'Grid BD'!$AD:$AD)/($AA309+SUMIF('Grid BD'!$B:$B,$A309,'Grid BD'!AD:AD))),"")</f>
        <v/>
      </c>
      <c r="S309" s="6"/>
      <c r="T309" s="232"/>
      <c r="U309" s="233" t="str">
        <f t="shared" si="21"/>
        <v/>
      </c>
      <c r="V309" s="233"/>
      <c r="W309" s="234" t="str">
        <f t="shared" si="23"/>
        <v/>
      </c>
      <c r="X309" s="227" t="str">
        <f>IFERROR(_xlfn.XLOOKUP($A309,'Raw Data'!$A:$A,'Raw Data'!$BA:$BA),"")</f>
        <v/>
      </c>
      <c r="Y309" s="227" t="str">
        <f>IFERROR(_xlfn.XLOOKUP($A309,'Raw Data'!$A:$A,'Raw Data'!BJ:BJ),"")</f>
        <v/>
      </c>
      <c r="Z309" s="227" t="str">
        <f>IFERROR(_xlfn.XLOOKUP($A309,'Raw Data'!$A:$A,'Raw Data'!BK:BK),"")</f>
        <v/>
      </c>
      <c r="AA309" s="227" t="str">
        <f>IFERROR(_xlfn.XLOOKUP($A309,'Raw Data'!$A:$A,'Raw Data'!BL:BL),"")</f>
        <v/>
      </c>
      <c r="AB309" s="227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27">
        <f>IFERROR(_xlfn.XLOOKUP($D309,'Modelling New'!$D:$D,'Modelling New'!$T:$T)*1000,"")</f>
        <v>114636.64210349345</v>
      </c>
      <c r="AE309" s="234">
        <f>IFERROR(_xlfn.XLOOKUP($D309,'Modelling New'!$D:$D,'Modelling New'!$O:$O),"")</f>
        <v>0.69465853509305142</v>
      </c>
      <c r="AF309" s="234">
        <f>IFERROR(_xlfn.XLOOKUP($D309,'Modelling New'!$D:$D,'Modelling New'!$W:$W),"")</f>
        <v>0.19653981402834317</v>
      </c>
      <c r="AG309" s="234">
        <f>IFERROR(_xlfn.XLOOKUP($D309,'Modelling New'!$D:$D,'Modelling New'!AE:AE),"")</f>
        <v>0.995</v>
      </c>
      <c r="AH309" s="234">
        <v>0.99750000000000005</v>
      </c>
      <c r="AI309" s="6"/>
      <c r="AJ309" s="6"/>
      <c r="AK309" s="6"/>
      <c r="AL309" s="6"/>
      <c r="AM309" s="6"/>
      <c r="AN309" s="231"/>
      <c r="AO309" s="234"/>
      <c r="AP309" s="234"/>
      <c r="AQ309" s="234"/>
      <c r="AR309" s="227">
        <f>IFERROR(_xlfn.XLOOKUP($D309,'Modelling New'!$D:$D,'Modelling New'!$N:$N),"")</f>
        <v>24.303100000000001</v>
      </c>
      <c r="AS309" s="227"/>
    </row>
    <row r="310" spans="1:45" x14ac:dyDescent="0.35">
      <c r="A310" s="226">
        <f t="shared" si="22"/>
        <v>46053</v>
      </c>
      <c r="B310" s="227">
        <f>YEAR(Daily_KPI[[#This Row],[Date]])+IF(MONTH(Daily_KPI[[#This Row],[Date]])&gt;=4,1,0)</f>
        <v>2026</v>
      </c>
      <c r="C310" s="6">
        <f>YEAR(Daily_KPI[[#This Row],[Date]])</f>
        <v>2026</v>
      </c>
      <c r="D310" s="228">
        <f>Daily_KPI[[#This Row],[Date]]-DAY(Daily_KPI[[#This Row],[Date]])+1</f>
        <v>46023</v>
      </c>
      <c r="E310" s="6">
        <f t="shared" si="24"/>
        <v>31</v>
      </c>
      <c r="F310" s="229" t="str">
        <f>IFERROR(_xlfn.XLOOKUP($A310,'Raw Data'!$A:$A,'Raw Data'!$BR:$BR),"")</f>
        <v/>
      </c>
      <c r="G310" s="230" t="str">
        <f>IFERROR(_xlfn.XLOOKUP($A310,'Raw Data'!$A:$A,'Raw Data'!$AO:$AO),"")</f>
        <v/>
      </c>
      <c r="H310" s="230"/>
      <c r="I310" s="230" t="str">
        <f>IFERROR(_xlfn.XLOOKUP($A310,'Raw Data'!$A:$A,'Raw Data'!$AR:$AR),"")</f>
        <v/>
      </c>
      <c r="J310" s="230"/>
      <c r="K310" s="230" t="str">
        <f>IFERROR(_xlfn.XLOOKUP($A310,'Raw Data'!$A:$A,'Raw Data'!$AV:$AV),"")</f>
        <v/>
      </c>
      <c r="L310" s="230" t="str">
        <f>IFERROR(_xlfn.XLOOKUP($A310,'Raw Data'!$A:$A,'Raw Data'!$AW:$AW),"")</f>
        <v/>
      </c>
      <c r="M310" s="230" t="str">
        <f>IFERROR(_xlfn.XLOOKUP($A310,'Raw Data'!$A:$A,'Raw Data'!$AX:$AX),"")</f>
        <v/>
      </c>
      <c r="N310" s="230" t="str">
        <f>IFERROR(_xlfn.XLOOKUP($A310,'Raw Data'!$A:$A,'Raw Data'!$AY:$AY),"")</f>
        <v/>
      </c>
      <c r="O310" s="231" t="str">
        <f>IFERROR(1-(SUMIF('Plant BD'!$B:$B,A310,'Plant BD'!$AE:$AE)/(AA310+SUMIF('Plant BD'!$B:$B,A310,'Plant BD'!$AE:$AE))),"")</f>
        <v/>
      </c>
      <c r="P310" s="231"/>
      <c r="Q310" s="232"/>
      <c r="R310" s="231" t="str">
        <f>IFERROR(1-(SUMIF('Grid BD'!$B:$B,$A310,'Grid BD'!$AD:$AD)/($AA310+SUMIF('Grid BD'!$B:$B,$A310,'Grid BD'!AD:AD))),"")</f>
        <v/>
      </c>
      <c r="S310" s="6"/>
      <c r="T310" s="232"/>
      <c r="U310" s="233" t="str">
        <f t="shared" si="21"/>
        <v/>
      </c>
      <c r="V310" s="233"/>
      <c r="W310" s="234" t="str">
        <f t="shared" si="23"/>
        <v/>
      </c>
      <c r="X310" s="227" t="str">
        <f>IFERROR(_xlfn.XLOOKUP($A310,'Raw Data'!$A:$A,'Raw Data'!$BA:$BA),"")</f>
        <v/>
      </c>
      <c r="Y310" s="227" t="str">
        <f>IFERROR(_xlfn.XLOOKUP($A310,'Raw Data'!$A:$A,'Raw Data'!BJ:BJ),"")</f>
        <v/>
      </c>
      <c r="Z310" s="227" t="str">
        <f>IFERROR(_xlfn.XLOOKUP($A310,'Raw Data'!$A:$A,'Raw Data'!BK:BK),"")</f>
        <v/>
      </c>
      <c r="AA310" s="227" t="str">
        <f>IFERROR(_xlfn.XLOOKUP($A310,'Raw Data'!$A:$A,'Raw Data'!BL:BL),"")</f>
        <v/>
      </c>
      <c r="AB310" s="227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27">
        <f>IFERROR(_xlfn.XLOOKUP($D310,'Modelling New'!$D:$D,'Modelling New'!$T:$T)*1000,"")</f>
        <v>114636.64210349345</v>
      </c>
      <c r="AE310" s="234">
        <f>IFERROR(_xlfn.XLOOKUP($D310,'Modelling New'!$D:$D,'Modelling New'!$O:$O),"")</f>
        <v>0.69465853509305142</v>
      </c>
      <c r="AF310" s="234">
        <f>IFERROR(_xlfn.XLOOKUP($D310,'Modelling New'!$D:$D,'Modelling New'!$W:$W),"")</f>
        <v>0.19653981402834317</v>
      </c>
      <c r="AG310" s="234">
        <f>IFERROR(_xlfn.XLOOKUP($D310,'Modelling New'!$D:$D,'Modelling New'!AE:AE),"")</f>
        <v>0.995</v>
      </c>
      <c r="AH310" s="234">
        <v>0.99750000000000005</v>
      </c>
      <c r="AI310" s="6"/>
      <c r="AJ310" s="6"/>
      <c r="AK310" s="6"/>
      <c r="AL310" s="6"/>
      <c r="AM310" s="6"/>
      <c r="AN310" s="231"/>
      <c r="AO310" s="234"/>
      <c r="AP310" s="234"/>
      <c r="AQ310" s="234"/>
      <c r="AR310" s="227">
        <f>IFERROR(_xlfn.XLOOKUP($D310,'Modelling New'!$D:$D,'Modelling New'!$N:$N),"")</f>
        <v>24.303100000000001</v>
      </c>
      <c r="AS310" s="227"/>
    </row>
    <row r="311" spans="1:45" x14ac:dyDescent="0.35">
      <c r="A311" s="226">
        <f t="shared" si="22"/>
        <v>46054</v>
      </c>
      <c r="B311" s="227">
        <f>YEAR(Daily_KPI[[#This Row],[Date]])+IF(MONTH(Daily_KPI[[#This Row],[Date]])&gt;=4,1,0)</f>
        <v>2026</v>
      </c>
      <c r="C311" s="6">
        <f>YEAR(Daily_KPI[[#This Row],[Date]])</f>
        <v>2026</v>
      </c>
      <c r="D311" s="228">
        <f>Daily_KPI[[#This Row],[Date]]-DAY(Daily_KPI[[#This Row],[Date]])+1</f>
        <v>46054</v>
      </c>
      <c r="E311" s="6">
        <f t="shared" si="24"/>
        <v>28</v>
      </c>
      <c r="F311" s="229" t="str">
        <f>IFERROR(_xlfn.XLOOKUP($A311,'Raw Data'!$A:$A,'Raw Data'!$BR:$BR),"")</f>
        <v/>
      </c>
      <c r="G311" s="230" t="str">
        <f>IFERROR(_xlfn.XLOOKUP($A311,'Raw Data'!$A:$A,'Raw Data'!$AO:$AO),"")</f>
        <v/>
      </c>
      <c r="H311" s="230"/>
      <c r="I311" s="230" t="str">
        <f>IFERROR(_xlfn.XLOOKUP($A311,'Raw Data'!$A:$A,'Raw Data'!$AR:$AR),"")</f>
        <v/>
      </c>
      <c r="J311" s="230"/>
      <c r="K311" s="230" t="str">
        <f>IFERROR(_xlfn.XLOOKUP($A311,'Raw Data'!$A:$A,'Raw Data'!$AV:$AV),"")</f>
        <v/>
      </c>
      <c r="L311" s="230" t="str">
        <f>IFERROR(_xlfn.XLOOKUP($A311,'Raw Data'!$A:$A,'Raw Data'!$AW:$AW),"")</f>
        <v/>
      </c>
      <c r="M311" s="230" t="str">
        <f>IFERROR(_xlfn.XLOOKUP($A311,'Raw Data'!$A:$A,'Raw Data'!$AX:$AX),"")</f>
        <v/>
      </c>
      <c r="N311" s="230" t="str">
        <f>IFERROR(_xlfn.XLOOKUP($A311,'Raw Data'!$A:$A,'Raw Data'!$AY:$AY),"")</f>
        <v/>
      </c>
      <c r="O311" s="231" t="str">
        <f>IFERROR(1-(SUMIF('Plant BD'!$B:$B,A311,'Plant BD'!$AE:$AE)/(AA311+SUMIF('Plant BD'!$B:$B,A311,'Plant BD'!$AE:$AE))),"")</f>
        <v/>
      </c>
      <c r="P311" s="231"/>
      <c r="Q311" s="232"/>
      <c r="R311" s="231" t="str">
        <f>IFERROR(1-(SUMIF('Grid BD'!$B:$B,$A311,'Grid BD'!$AD:$AD)/($AA311+SUMIF('Grid BD'!$B:$B,$A311,'Grid BD'!AD:AD))),"")</f>
        <v/>
      </c>
      <c r="S311" s="6"/>
      <c r="T311" s="232"/>
      <c r="U311" s="233" t="str">
        <f t="shared" si="21"/>
        <v/>
      </c>
      <c r="V311" s="233"/>
      <c r="W311" s="234" t="str">
        <f t="shared" si="23"/>
        <v/>
      </c>
      <c r="X311" s="227" t="str">
        <f>IFERROR(_xlfn.XLOOKUP($A311,'Raw Data'!$A:$A,'Raw Data'!$BA:$BA),"")</f>
        <v/>
      </c>
      <c r="Y311" s="227" t="str">
        <f>IFERROR(_xlfn.XLOOKUP($A311,'Raw Data'!$A:$A,'Raw Data'!BJ:BJ),"")</f>
        <v/>
      </c>
      <c r="Z311" s="227" t="str">
        <f>IFERROR(_xlfn.XLOOKUP($A311,'Raw Data'!$A:$A,'Raw Data'!BK:BK),"")</f>
        <v/>
      </c>
      <c r="AA311" s="227" t="str">
        <f>IFERROR(_xlfn.XLOOKUP($A311,'Raw Data'!$A:$A,'Raw Data'!BL:BL),"")</f>
        <v/>
      </c>
      <c r="AB311" s="227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27">
        <f>IFERROR(_xlfn.XLOOKUP($D311,'Modelling New'!$D:$D,'Modelling New'!$T:$T)*1000,"")</f>
        <v>114630.12204031929</v>
      </c>
      <c r="AE311" s="234">
        <f>IFERROR(_xlfn.XLOOKUP($D311,'Modelling New'!$D:$D,'Modelling New'!$O:$O),"")</f>
        <v>0.68428623396557675</v>
      </c>
      <c r="AF311" s="234">
        <f>IFERROR(_xlfn.XLOOKUP($D311,'Modelling New'!$D:$D,'Modelling New'!$W:$W),"")</f>
        <v>0.19652863564785167</v>
      </c>
      <c r="AG311" s="234">
        <f>IFERROR(_xlfn.XLOOKUP($D311,'Modelling New'!$D:$D,'Modelling New'!AE:AE),"")</f>
        <v>0.995</v>
      </c>
      <c r="AH311" s="234">
        <v>0.99750000000000005</v>
      </c>
      <c r="AI311" s="6"/>
      <c r="AJ311" s="6"/>
      <c r="AK311" s="6"/>
      <c r="AL311" s="6"/>
      <c r="AM311" s="6"/>
      <c r="AN311" s="231"/>
      <c r="AO311" s="234"/>
      <c r="AP311" s="234"/>
      <c r="AQ311" s="234"/>
      <c r="AR311" s="227">
        <f>IFERROR(_xlfn.XLOOKUP($D311,'Modelling New'!$D:$D,'Modelling New'!$N:$N),"")</f>
        <v>24.303100000000001</v>
      </c>
      <c r="AS311" s="227"/>
    </row>
    <row r="312" spans="1:45" x14ac:dyDescent="0.35">
      <c r="A312" s="226">
        <f t="shared" si="22"/>
        <v>46055</v>
      </c>
      <c r="B312" s="227">
        <f>YEAR(Daily_KPI[[#This Row],[Date]])+IF(MONTH(Daily_KPI[[#This Row],[Date]])&gt;=4,1,0)</f>
        <v>2026</v>
      </c>
      <c r="C312" s="6">
        <f>YEAR(Daily_KPI[[#This Row],[Date]])</f>
        <v>2026</v>
      </c>
      <c r="D312" s="228">
        <f>Daily_KPI[[#This Row],[Date]]-DAY(Daily_KPI[[#This Row],[Date]])+1</f>
        <v>46054</v>
      </c>
      <c r="E312" s="6">
        <f t="shared" si="24"/>
        <v>28</v>
      </c>
      <c r="F312" s="229" t="str">
        <f>IFERROR(_xlfn.XLOOKUP($A312,'Raw Data'!$A:$A,'Raw Data'!$BR:$BR),"")</f>
        <v/>
      </c>
      <c r="G312" s="230" t="str">
        <f>IFERROR(_xlfn.XLOOKUP($A312,'Raw Data'!$A:$A,'Raw Data'!$AO:$AO),"")</f>
        <v/>
      </c>
      <c r="H312" s="230"/>
      <c r="I312" s="230" t="str">
        <f>IFERROR(_xlfn.XLOOKUP($A312,'Raw Data'!$A:$A,'Raw Data'!$AR:$AR),"")</f>
        <v/>
      </c>
      <c r="J312" s="230"/>
      <c r="K312" s="230" t="str">
        <f>IFERROR(_xlfn.XLOOKUP($A312,'Raw Data'!$A:$A,'Raw Data'!$AV:$AV),"")</f>
        <v/>
      </c>
      <c r="L312" s="230" t="str">
        <f>IFERROR(_xlfn.XLOOKUP($A312,'Raw Data'!$A:$A,'Raw Data'!$AW:$AW),"")</f>
        <v/>
      </c>
      <c r="M312" s="230" t="str">
        <f>IFERROR(_xlfn.XLOOKUP($A312,'Raw Data'!$A:$A,'Raw Data'!$AX:$AX),"")</f>
        <v/>
      </c>
      <c r="N312" s="230" t="str">
        <f>IFERROR(_xlfn.XLOOKUP($A312,'Raw Data'!$A:$A,'Raw Data'!$AY:$AY),"")</f>
        <v/>
      </c>
      <c r="O312" s="231" t="str">
        <f>IFERROR(1-(SUMIF('Plant BD'!$B:$B,A312,'Plant BD'!$AE:$AE)/(AA312+SUMIF('Plant BD'!$B:$B,A312,'Plant BD'!$AE:$AE))),"")</f>
        <v/>
      </c>
      <c r="P312" s="231"/>
      <c r="Q312" s="232"/>
      <c r="R312" s="231" t="str">
        <f>IFERROR(1-(SUMIF('Grid BD'!$B:$B,$A312,'Grid BD'!$AD:$AD)/($AA312+SUMIF('Grid BD'!$B:$B,$A312,'Grid BD'!AD:AD))),"")</f>
        <v/>
      </c>
      <c r="S312" s="6"/>
      <c r="T312" s="232"/>
      <c r="U312" s="233" t="str">
        <f t="shared" si="21"/>
        <v/>
      </c>
      <c r="V312" s="233"/>
      <c r="W312" s="234" t="str">
        <f t="shared" si="23"/>
        <v/>
      </c>
      <c r="X312" s="227" t="str">
        <f>IFERROR(_xlfn.XLOOKUP($A312,'Raw Data'!$A:$A,'Raw Data'!$BA:$BA),"")</f>
        <v/>
      </c>
      <c r="Y312" s="227" t="str">
        <f>IFERROR(_xlfn.XLOOKUP($A312,'Raw Data'!$A:$A,'Raw Data'!BJ:BJ),"")</f>
        <v/>
      </c>
      <c r="Z312" s="227" t="str">
        <f>IFERROR(_xlfn.XLOOKUP($A312,'Raw Data'!$A:$A,'Raw Data'!BK:BK),"")</f>
        <v/>
      </c>
      <c r="AA312" s="227" t="str">
        <f>IFERROR(_xlfn.XLOOKUP($A312,'Raw Data'!$A:$A,'Raw Data'!BL:BL),"")</f>
        <v/>
      </c>
      <c r="AB312" s="227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27">
        <f>IFERROR(_xlfn.XLOOKUP($D312,'Modelling New'!$D:$D,'Modelling New'!$T:$T)*1000,"")</f>
        <v>114630.12204031929</v>
      </c>
      <c r="AE312" s="234">
        <f>IFERROR(_xlfn.XLOOKUP($D312,'Modelling New'!$D:$D,'Modelling New'!$O:$O),"")</f>
        <v>0.68428623396557675</v>
      </c>
      <c r="AF312" s="234">
        <f>IFERROR(_xlfn.XLOOKUP($D312,'Modelling New'!$D:$D,'Modelling New'!$W:$W),"")</f>
        <v>0.19652863564785167</v>
      </c>
      <c r="AG312" s="234">
        <f>IFERROR(_xlfn.XLOOKUP($D312,'Modelling New'!$D:$D,'Modelling New'!AE:AE),"")</f>
        <v>0.995</v>
      </c>
      <c r="AH312" s="234">
        <v>0.99750000000000005</v>
      </c>
      <c r="AI312" s="6"/>
      <c r="AJ312" s="6"/>
      <c r="AK312" s="6"/>
      <c r="AL312" s="6"/>
      <c r="AM312" s="6"/>
      <c r="AN312" s="231"/>
      <c r="AO312" s="234"/>
      <c r="AP312" s="234"/>
      <c r="AQ312" s="234"/>
      <c r="AR312" s="227">
        <f>IFERROR(_xlfn.XLOOKUP($D312,'Modelling New'!$D:$D,'Modelling New'!$N:$N),"")</f>
        <v>24.303100000000001</v>
      </c>
      <c r="AS312" s="227"/>
    </row>
    <row r="313" spans="1:45" x14ac:dyDescent="0.35">
      <c r="A313" s="226">
        <f t="shared" si="22"/>
        <v>46056</v>
      </c>
      <c r="B313" s="227">
        <f>YEAR(Daily_KPI[[#This Row],[Date]])+IF(MONTH(Daily_KPI[[#This Row],[Date]])&gt;=4,1,0)</f>
        <v>2026</v>
      </c>
      <c r="C313" s="6">
        <f>YEAR(Daily_KPI[[#This Row],[Date]])</f>
        <v>2026</v>
      </c>
      <c r="D313" s="228">
        <f>Daily_KPI[[#This Row],[Date]]-DAY(Daily_KPI[[#This Row],[Date]])+1</f>
        <v>46054</v>
      </c>
      <c r="E313" s="6">
        <f t="shared" si="24"/>
        <v>28</v>
      </c>
      <c r="F313" s="229" t="str">
        <f>IFERROR(_xlfn.XLOOKUP($A313,'Raw Data'!$A:$A,'Raw Data'!$BR:$BR),"")</f>
        <v/>
      </c>
      <c r="G313" s="230" t="str">
        <f>IFERROR(_xlfn.XLOOKUP($A313,'Raw Data'!$A:$A,'Raw Data'!$AO:$AO),"")</f>
        <v/>
      </c>
      <c r="H313" s="230"/>
      <c r="I313" s="230" t="str">
        <f>IFERROR(_xlfn.XLOOKUP($A313,'Raw Data'!$A:$A,'Raw Data'!$AR:$AR),"")</f>
        <v/>
      </c>
      <c r="J313" s="230"/>
      <c r="K313" s="230" t="str">
        <f>IFERROR(_xlfn.XLOOKUP($A313,'Raw Data'!$A:$A,'Raw Data'!$AV:$AV),"")</f>
        <v/>
      </c>
      <c r="L313" s="230" t="str">
        <f>IFERROR(_xlfn.XLOOKUP($A313,'Raw Data'!$A:$A,'Raw Data'!$AW:$AW),"")</f>
        <v/>
      </c>
      <c r="M313" s="230" t="str">
        <f>IFERROR(_xlfn.XLOOKUP($A313,'Raw Data'!$A:$A,'Raw Data'!$AX:$AX),"")</f>
        <v/>
      </c>
      <c r="N313" s="230" t="str">
        <f>IFERROR(_xlfn.XLOOKUP($A313,'Raw Data'!$A:$A,'Raw Data'!$AY:$AY),"")</f>
        <v/>
      </c>
      <c r="O313" s="231" t="str">
        <f>IFERROR(1-(SUMIF('Plant BD'!$B:$B,A313,'Plant BD'!$AE:$AE)/(AA313+SUMIF('Plant BD'!$B:$B,A313,'Plant BD'!$AE:$AE))),"")</f>
        <v/>
      </c>
      <c r="P313" s="231"/>
      <c r="Q313" s="232"/>
      <c r="R313" s="231" t="str">
        <f>IFERROR(1-(SUMIF('Grid BD'!$B:$B,$A313,'Grid BD'!$AD:$AD)/($AA313+SUMIF('Grid BD'!$B:$B,$A313,'Grid BD'!AD:AD))),"")</f>
        <v/>
      </c>
      <c r="S313" s="6"/>
      <c r="T313" s="232"/>
      <c r="U313" s="233" t="str">
        <f t="shared" si="21"/>
        <v/>
      </c>
      <c r="V313" s="233"/>
      <c r="W313" s="234" t="str">
        <f t="shared" si="23"/>
        <v/>
      </c>
      <c r="X313" s="227" t="str">
        <f>IFERROR(_xlfn.XLOOKUP($A313,'Raw Data'!$A:$A,'Raw Data'!$BA:$BA),"")</f>
        <v/>
      </c>
      <c r="Y313" s="227" t="str">
        <f>IFERROR(_xlfn.XLOOKUP($A313,'Raw Data'!$A:$A,'Raw Data'!BJ:BJ),"")</f>
        <v/>
      </c>
      <c r="Z313" s="227" t="str">
        <f>IFERROR(_xlfn.XLOOKUP($A313,'Raw Data'!$A:$A,'Raw Data'!BK:BK),"")</f>
        <v/>
      </c>
      <c r="AA313" s="227" t="str">
        <f>IFERROR(_xlfn.XLOOKUP($A313,'Raw Data'!$A:$A,'Raw Data'!BL:BL),"")</f>
        <v/>
      </c>
      <c r="AB313" s="227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27">
        <f>IFERROR(_xlfn.XLOOKUP($D313,'Modelling New'!$D:$D,'Modelling New'!$T:$T)*1000,"")</f>
        <v>114630.12204031929</v>
      </c>
      <c r="AE313" s="234">
        <f>IFERROR(_xlfn.XLOOKUP($D313,'Modelling New'!$D:$D,'Modelling New'!$O:$O),"")</f>
        <v>0.68428623396557675</v>
      </c>
      <c r="AF313" s="234">
        <f>IFERROR(_xlfn.XLOOKUP($D313,'Modelling New'!$D:$D,'Modelling New'!$W:$W),"")</f>
        <v>0.19652863564785167</v>
      </c>
      <c r="AG313" s="234">
        <f>IFERROR(_xlfn.XLOOKUP($D313,'Modelling New'!$D:$D,'Modelling New'!AE:AE),"")</f>
        <v>0.995</v>
      </c>
      <c r="AH313" s="234">
        <v>0.99750000000000005</v>
      </c>
      <c r="AI313" s="6"/>
      <c r="AJ313" s="6"/>
      <c r="AK313" s="6"/>
      <c r="AL313" s="6"/>
      <c r="AM313" s="6"/>
      <c r="AN313" s="231"/>
      <c r="AO313" s="234"/>
      <c r="AP313" s="234"/>
      <c r="AQ313" s="234"/>
      <c r="AR313" s="227">
        <f>IFERROR(_xlfn.XLOOKUP($D313,'Modelling New'!$D:$D,'Modelling New'!$N:$N),"")</f>
        <v>24.303100000000001</v>
      </c>
      <c r="AS313" s="227"/>
    </row>
    <row r="314" spans="1:45" x14ac:dyDescent="0.35">
      <c r="A314" s="226">
        <f t="shared" si="22"/>
        <v>46057</v>
      </c>
      <c r="B314" s="227">
        <f>YEAR(Daily_KPI[[#This Row],[Date]])+IF(MONTH(Daily_KPI[[#This Row],[Date]])&gt;=4,1,0)</f>
        <v>2026</v>
      </c>
      <c r="C314" s="6">
        <f>YEAR(Daily_KPI[[#This Row],[Date]])</f>
        <v>2026</v>
      </c>
      <c r="D314" s="228">
        <f>Daily_KPI[[#This Row],[Date]]-DAY(Daily_KPI[[#This Row],[Date]])+1</f>
        <v>46054</v>
      </c>
      <c r="E314" s="6">
        <f t="shared" si="24"/>
        <v>28</v>
      </c>
      <c r="F314" s="229" t="str">
        <f>IFERROR(_xlfn.XLOOKUP($A314,'Raw Data'!$A:$A,'Raw Data'!$BR:$BR),"")</f>
        <v/>
      </c>
      <c r="G314" s="230" t="str">
        <f>IFERROR(_xlfn.XLOOKUP($A314,'Raw Data'!$A:$A,'Raw Data'!$AO:$AO),"")</f>
        <v/>
      </c>
      <c r="H314" s="230"/>
      <c r="I314" s="230" t="str">
        <f>IFERROR(_xlfn.XLOOKUP($A314,'Raw Data'!$A:$A,'Raw Data'!$AR:$AR),"")</f>
        <v/>
      </c>
      <c r="J314" s="230"/>
      <c r="K314" s="230" t="str">
        <f>IFERROR(_xlfn.XLOOKUP($A314,'Raw Data'!$A:$A,'Raw Data'!$AV:$AV),"")</f>
        <v/>
      </c>
      <c r="L314" s="230" t="str">
        <f>IFERROR(_xlfn.XLOOKUP($A314,'Raw Data'!$A:$A,'Raw Data'!$AW:$AW),"")</f>
        <v/>
      </c>
      <c r="M314" s="230" t="str">
        <f>IFERROR(_xlfn.XLOOKUP($A314,'Raw Data'!$A:$A,'Raw Data'!$AX:$AX),"")</f>
        <v/>
      </c>
      <c r="N314" s="230" t="str">
        <f>IFERROR(_xlfn.XLOOKUP($A314,'Raw Data'!$A:$A,'Raw Data'!$AY:$AY),"")</f>
        <v/>
      </c>
      <c r="O314" s="231" t="str">
        <f>IFERROR(1-(SUMIF('Plant BD'!$B:$B,A314,'Plant BD'!$AE:$AE)/(AA314+SUMIF('Plant BD'!$B:$B,A314,'Plant BD'!$AE:$AE))),"")</f>
        <v/>
      </c>
      <c r="P314" s="231"/>
      <c r="Q314" s="232"/>
      <c r="R314" s="231" t="str">
        <f>IFERROR(1-(SUMIF('Grid BD'!$B:$B,$A314,'Grid BD'!$AD:$AD)/($AA314+SUMIF('Grid BD'!$B:$B,$A314,'Grid BD'!AD:AD))),"")</f>
        <v/>
      </c>
      <c r="S314" s="6"/>
      <c r="T314" s="232"/>
      <c r="U314" s="233" t="str">
        <f t="shared" si="21"/>
        <v/>
      </c>
      <c r="V314" s="233"/>
      <c r="W314" s="234" t="str">
        <f t="shared" si="23"/>
        <v/>
      </c>
      <c r="X314" s="227" t="str">
        <f>IFERROR(_xlfn.XLOOKUP($A314,'Raw Data'!$A:$A,'Raw Data'!$BA:$BA),"")</f>
        <v/>
      </c>
      <c r="Y314" s="227" t="str">
        <f>IFERROR(_xlfn.XLOOKUP($A314,'Raw Data'!$A:$A,'Raw Data'!BJ:BJ),"")</f>
        <v/>
      </c>
      <c r="Z314" s="227" t="str">
        <f>IFERROR(_xlfn.XLOOKUP($A314,'Raw Data'!$A:$A,'Raw Data'!BK:BK),"")</f>
        <v/>
      </c>
      <c r="AA314" s="227" t="str">
        <f>IFERROR(_xlfn.XLOOKUP($A314,'Raw Data'!$A:$A,'Raw Data'!BL:BL),"")</f>
        <v/>
      </c>
      <c r="AB314" s="227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27">
        <f>IFERROR(_xlfn.XLOOKUP($D314,'Modelling New'!$D:$D,'Modelling New'!$T:$T)*1000,"")</f>
        <v>114630.12204031929</v>
      </c>
      <c r="AE314" s="234">
        <f>IFERROR(_xlfn.XLOOKUP($D314,'Modelling New'!$D:$D,'Modelling New'!$O:$O),"")</f>
        <v>0.68428623396557675</v>
      </c>
      <c r="AF314" s="234">
        <f>IFERROR(_xlfn.XLOOKUP($D314,'Modelling New'!$D:$D,'Modelling New'!$W:$W),"")</f>
        <v>0.19652863564785167</v>
      </c>
      <c r="AG314" s="234">
        <f>IFERROR(_xlfn.XLOOKUP($D314,'Modelling New'!$D:$D,'Modelling New'!AE:AE),"")</f>
        <v>0.995</v>
      </c>
      <c r="AH314" s="234">
        <v>0.99750000000000005</v>
      </c>
      <c r="AI314" s="6"/>
      <c r="AJ314" s="6"/>
      <c r="AK314" s="6"/>
      <c r="AL314" s="6"/>
      <c r="AM314" s="6"/>
      <c r="AN314" s="231"/>
      <c r="AO314" s="234"/>
      <c r="AP314" s="234"/>
      <c r="AQ314" s="234"/>
      <c r="AR314" s="227">
        <f>IFERROR(_xlfn.XLOOKUP($D314,'Modelling New'!$D:$D,'Modelling New'!$N:$N),"")</f>
        <v>24.303100000000001</v>
      </c>
      <c r="AS314" s="227"/>
    </row>
    <row r="315" spans="1:45" x14ac:dyDescent="0.35">
      <c r="A315" s="226">
        <f t="shared" si="22"/>
        <v>46058</v>
      </c>
      <c r="B315" s="227">
        <f>YEAR(Daily_KPI[[#This Row],[Date]])+IF(MONTH(Daily_KPI[[#This Row],[Date]])&gt;=4,1,0)</f>
        <v>2026</v>
      </c>
      <c r="C315" s="6">
        <f>YEAR(Daily_KPI[[#This Row],[Date]])</f>
        <v>2026</v>
      </c>
      <c r="D315" s="228">
        <f>Daily_KPI[[#This Row],[Date]]-DAY(Daily_KPI[[#This Row],[Date]])+1</f>
        <v>46054</v>
      </c>
      <c r="E315" s="6">
        <f t="shared" si="24"/>
        <v>28</v>
      </c>
      <c r="F315" s="229" t="str">
        <f>IFERROR(_xlfn.XLOOKUP($A315,'Raw Data'!$A:$A,'Raw Data'!$BR:$BR),"")</f>
        <v/>
      </c>
      <c r="G315" s="230" t="str">
        <f>IFERROR(_xlfn.XLOOKUP($A315,'Raw Data'!$A:$A,'Raw Data'!$AO:$AO),"")</f>
        <v/>
      </c>
      <c r="H315" s="230"/>
      <c r="I315" s="230" t="str">
        <f>IFERROR(_xlfn.XLOOKUP($A315,'Raw Data'!$A:$A,'Raw Data'!$AR:$AR),"")</f>
        <v/>
      </c>
      <c r="J315" s="230"/>
      <c r="K315" s="230" t="str">
        <f>IFERROR(_xlfn.XLOOKUP($A315,'Raw Data'!$A:$A,'Raw Data'!$AV:$AV),"")</f>
        <v/>
      </c>
      <c r="L315" s="230" t="str">
        <f>IFERROR(_xlfn.XLOOKUP($A315,'Raw Data'!$A:$A,'Raw Data'!$AW:$AW),"")</f>
        <v/>
      </c>
      <c r="M315" s="230" t="str">
        <f>IFERROR(_xlfn.XLOOKUP($A315,'Raw Data'!$A:$A,'Raw Data'!$AX:$AX),"")</f>
        <v/>
      </c>
      <c r="N315" s="230" t="str">
        <f>IFERROR(_xlfn.XLOOKUP($A315,'Raw Data'!$A:$A,'Raw Data'!$AY:$AY),"")</f>
        <v/>
      </c>
      <c r="O315" s="231" t="str">
        <f>IFERROR(1-(SUMIF('Plant BD'!$B:$B,A315,'Plant BD'!$AE:$AE)/(AA315+SUMIF('Plant BD'!$B:$B,A315,'Plant BD'!$AE:$AE))),"")</f>
        <v/>
      </c>
      <c r="P315" s="231"/>
      <c r="Q315" s="232"/>
      <c r="R315" s="231" t="str">
        <f>IFERROR(1-(SUMIF('Grid BD'!$B:$B,$A315,'Grid BD'!$AD:$AD)/($AA315+SUMIF('Grid BD'!$B:$B,$A315,'Grid BD'!AD:AD))),"")</f>
        <v/>
      </c>
      <c r="S315" s="6"/>
      <c r="T315" s="232"/>
      <c r="U315" s="233" t="str">
        <f t="shared" si="21"/>
        <v/>
      </c>
      <c r="V315" s="233"/>
      <c r="W315" s="234" t="str">
        <f t="shared" si="23"/>
        <v/>
      </c>
      <c r="X315" s="227" t="str">
        <f>IFERROR(_xlfn.XLOOKUP($A315,'Raw Data'!$A:$A,'Raw Data'!$BA:$BA),"")</f>
        <v/>
      </c>
      <c r="Y315" s="227" t="str">
        <f>IFERROR(_xlfn.XLOOKUP($A315,'Raw Data'!$A:$A,'Raw Data'!BJ:BJ),"")</f>
        <v/>
      </c>
      <c r="Z315" s="227" t="str">
        <f>IFERROR(_xlfn.XLOOKUP($A315,'Raw Data'!$A:$A,'Raw Data'!BK:BK),"")</f>
        <v/>
      </c>
      <c r="AA315" s="227" t="str">
        <f>IFERROR(_xlfn.XLOOKUP($A315,'Raw Data'!$A:$A,'Raw Data'!BL:BL),"")</f>
        <v/>
      </c>
      <c r="AB315" s="227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27">
        <f>IFERROR(_xlfn.XLOOKUP($D315,'Modelling New'!$D:$D,'Modelling New'!$T:$T)*1000,"")</f>
        <v>114630.12204031929</v>
      </c>
      <c r="AE315" s="234">
        <f>IFERROR(_xlfn.XLOOKUP($D315,'Modelling New'!$D:$D,'Modelling New'!$O:$O),"")</f>
        <v>0.68428623396557675</v>
      </c>
      <c r="AF315" s="234">
        <f>IFERROR(_xlfn.XLOOKUP($D315,'Modelling New'!$D:$D,'Modelling New'!$W:$W),"")</f>
        <v>0.19652863564785167</v>
      </c>
      <c r="AG315" s="234">
        <f>IFERROR(_xlfn.XLOOKUP($D315,'Modelling New'!$D:$D,'Modelling New'!AE:AE),"")</f>
        <v>0.995</v>
      </c>
      <c r="AH315" s="234">
        <v>0.99750000000000005</v>
      </c>
      <c r="AI315" s="6"/>
      <c r="AJ315" s="6"/>
      <c r="AK315" s="6"/>
      <c r="AL315" s="6"/>
      <c r="AM315" s="6"/>
      <c r="AN315" s="231"/>
      <c r="AO315" s="234"/>
      <c r="AP315" s="234"/>
      <c r="AQ315" s="234"/>
      <c r="AR315" s="227">
        <f>IFERROR(_xlfn.XLOOKUP($D315,'Modelling New'!$D:$D,'Modelling New'!$N:$N),"")</f>
        <v>24.303100000000001</v>
      </c>
      <c r="AS315" s="227"/>
    </row>
    <row r="316" spans="1:45" x14ac:dyDescent="0.35">
      <c r="A316" s="226">
        <f t="shared" si="22"/>
        <v>46059</v>
      </c>
      <c r="B316" s="227">
        <f>YEAR(Daily_KPI[[#This Row],[Date]])+IF(MONTH(Daily_KPI[[#This Row],[Date]])&gt;=4,1,0)</f>
        <v>2026</v>
      </c>
      <c r="C316" s="6">
        <f>YEAR(Daily_KPI[[#This Row],[Date]])</f>
        <v>2026</v>
      </c>
      <c r="D316" s="228">
        <f>Daily_KPI[[#This Row],[Date]]-DAY(Daily_KPI[[#This Row],[Date]])+1</f>
        <v>46054</v>
      </c>
      <c r="E316" s="6">
        <f t="shared" si="24"/>
        <v>28</v>
      </c>
      <c r="F316" s="229" t="str">
        <f>IFERROR(_xlfn.XLOOKUP($A316,'Raw Data'!$A:$A,'Raw Data'!$BR:$BR),"")</f>
        <v/>
      </c>
      <c r="G316" s="230" t="str">
        <f>IFERROR(_xlfn.XLOOKUP($A316,'Raw Data'!$A:$A,'Raw Data'!$AO:$AO),"")</f>
        <v/>
      </c>
      <c r="H316" s="230"/>
      <c r="I316" s="230" t="str">
        <f>IFERROR(_xlfn.XLOOKUP($A316,'Raw Data'!$A:$A,'Raw Data'!$AR:$AR),"")</f>
        <v/>
      </c>
      <c r="J316" s="230"/>
      <c r="K316" s="230" t="str">
        <f>IFERROR(_xlfn.XLOOKUP($A316,'Raw Data'!$A:$A,'Raw Data'!$AV:$AV),"")</f>
        <v/>
      </c>
      <c r="L316" s="230" t="str">
        <f>IFERROR(_xlfn.XLOOKUP($A316,'Raw Data'!$A:$A,'Raw Data'!$AW:$AW),"")</f>
        <v/>
      </c>
      <c r="M316" s="230" t="str">
        <f>IFERROR(_xlfn.XLOOKUP($A316,'Raw Data'!$A:$A,'Raw Data'!$AX:$AX),"")</f>
        <v/>
      </c>
      <c r="N316" s="230" t="str">
        <f>IFERROR(_xlfn.XLOOKUP($A316,'Raw Data'!$A:$A,'Raw Data'!$AY:$AY),"")</f>
        <v/>
      </c>
      <c r="O316" s="231" t="str">
        <f>IFERROR(1-(SUMIF('Plant BD'!$B:$B,A316,'Plant BD'!$AE:$AE)/(AA316+SUMIF('Plant BD'!$B:$B,A316,'Plant BD'!$AE:$AE))),"")</f>
        <v/>
      </c>
      <c r="P316" s="231"/>
      <c r="Q316" s="232"/>
      <c r="R316" s="231" t="str">
        <f>IFERROR(1-(SUMIF('Grid BD'!$B:$B,$A316,'Grid BD'!$AD:$AD)/($AA316+SUMIF('Grid BD'!$B:$B,$A316,'Grid BD'!AD:AD))),"")</f>
        <v/>
      </c>
      <c r="S316" s="6"/>
      <c r="T316" s="232"/>
      <c r="U316" s="233" t="str">
        <f t="shared" si="21"/>
        <v/>
      </c>
      <c r="V316" s="233"/>
      <c r="W316" s="234" t="str">
        <f t="shared" si="23"/>
        <v/>
      </c>
      <c r="X316" s="227" t="str">
        <f>IFERROR(_xlfn.XLOOKUP($A316,'Raw Data'!$A:$A,'Raw Data'!$BA:$BA),"")</f>
        <v/>
      </c>
      <c r="Y316" s="227" t="str">
        <f>IFERROR(_xlfn.XLOOKUP($A316,'Raw Data'!$A:$A,'Raw Data'!BJ:BJ),"")</f>
        <v/>
      </c>
      <c r="Z316" s="227" t="str">
        <f>IFERROR(_xlfn.XLOOKUP($A316,'Raw Data'!$A:$A,'Raw Data'!BK:BK),"")</f>
        <v/>
      </c>
      <c r="AA316" s="227" t="str">
        <f>IFERROR(_xlfn.XLOOKUP($A316,'Raw Data'!$A:$A,'Raw Data'!BL:BL),"")</f>
        <v/>
      </c>
      <c r="AB316" s="227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27">
        <f>IFERROR(_xlfn.XLOOKUP($D316,'Modelling New'!$D:$D,'Modelling New'!$T:$T)*1000,"")</f>
        <v>114630.12204031929</v>
      </c>
      <c r="AE316" s="234">
        <f>IFERROR(_xlfn.XLOOKUP($D316,'Modelling New'!$D:$D,'Modelling New'!$O:$O),"")</f>
        <v>0.68428623396557675</v>
      </c>
      <c r="AF316" s="234">
        <f>IFERROR(_xlfn.XLOOKUP($D316,'Modelling New'!$D:$D,'Modelling New'!$W:$W),"")</f>
        <v>0.19652863564785167</v>
      </c>
      <c r="AG316" s="234">
        <f>IFERROR(_xlfn.XLOOKUP($D316,'Modelling New'!$D:$D,'Modelling New'!AE:AE),"")</f>
        <v>0.995</v>
      </c>
      <c r="AH316" s="234">
        <v>0.99750000000000005</v>
      </c>
      <c r="AI316" s="6"/>
      <c r="AJ316" s="6"/>
      <c r="AK316" s="6"/>
      <c r="AL316" s="6"/>
      <c r="AM316" s="6"/>
      <c r="AN316" s="231"/>
      <c r="AO316" s="234"/>
      <c r="AP316" s="234"/>
      <c r="AQ316" s="234"/>
      <c r="AR316" s="227">
        <f>IFERROR(_xlfn.XLOOKUP($D316,'Modelling New'!$D:$D,'Modelling New'!$N:$N),"")</f>
        <v>24.303100000000001</v>
      </c>
      <c r="AS316" s="227"/>
    </row>
    <row r="317" spans="1:45" x14ac:dyDescent="0.35">
      <c r="A317" s="226">
        <f t="shared" si="22"/>
        <v>46060</v>
      </c>
      <c r="B317" s="227">
        <f>YEAR(Daily_KPI[[#This Row],[Date]])+IF(MONTH(Daily_KPI[[#This Row],[Date]])&gt;=4,1,0)</f>
        <v>2026</v>
      </c>
      <c r="C317" s="6">
        <f>YEAR(Daily_KPI[[#This Row],[Date]])</f>
        <v>2026</v>
      </c>
      <c r="D317" s="228">
        <f>Daily_KPI[[#This Row],[Date]]-DAY(Daily_KPI[[#This Row],[Date]])+1</f>
        <v>46054</v>
      </c>
      <c r="E317" s="6">
        <f t="shared" si="24"/>
        <v>28</v>
      </c>
      <c r="F317" s="229" t="str">
        <f>IFERROR(_xlfn.XLOOKUP($A317,'Raw Data'!$A:$A,'Raw Data'!$BR:$BR),"")</f>
        <v/>
      </c>
      <c r="G317" s="230" t="str">
        <f>IFERROR(_xlfn.XLOOKUP($A317,'Raw Data'!$A:$A,'Raw Data'!$AO:$AO),"")</f>
        <v/>
      </c>
      <c r="H317" s="230"/>
      <c r="I317" s="230" t="str">
        <f>IFERROR(_xlfn.XLOOKUP($A317,'Raw Data'!$A:$A,'Raw Data'!$AR:$AR),"")</f>
        <v/>
      </c>
      <c r="J317" s="230"/>
      <c r="K317" s="230" t="str">
        <f>IFERROR(_xlfn.XLOOKUP($A317,'Raw Data'!$A:$A,'Raw Data'!$AV:$AV),"")</f>
        <v/>
      </c>
      <c r="L317" s="230" t="str">
        <f>IFERROR(_xlfn.XLOOKUP($A317,'Raw Data'!$A:$A,'Raw Data'!$AW:$AW),"")</f>
        <v/>
      </c>
      <c r="M317" s="230" t="str">
        <f>IFERROR(_xlfn.XLOOKUP($A317,'Raw Data'!$A:$A,'Raw Data'!$AX:$AX),"")</f>
        <v/>
      </c>
      <c r="N317" s="230" t="str">
        <f>IFERROR(_xlfn.XLOOKUP($A317,'Raw Data'!$A:$A,'Raw Data'!$AY:$AY),"")</f>
        <v/>
      </c>
      <c r="O317" s="231" t="str">
        <f>IFERROR(1-(SUMIF('Plant BD'!$B:$B,A317,'Plant BD'!$AE:$AE)/(AA317+SUMIF('Plant BD'!$B:$B,A317,'Plant BD'!$AE:$AE))),"")</f>
        <v/>
      </c>
      <c r="P317" s="231"/>
      <c r="Q317" s="232"/>
      <c r="R317" s="231" t="str">
        <f>IFERROR(1-(SUMIF('Grid BD'!$B:$B,$A317,'Grid BD'!$AD:$AD)/($AA317+SUMIF('Grid BD'!$B:$B,$A317,'Grid BD'!AD:AD))),"")</f>
        <v/>
      </c>
      <c r="S317" s="6"/>
      <c r="T317" s="232"/>
      <c r="U317" s="233" t="str">
        <f t="shared" si="21"/>
        <v/>
      </c>
      <c r="V317" s="233"/>
      <c r="W317" s="234" t="str">
        <f t="shared" si="23"/>
        <v/>
      </c>
      <c r="X317" s="227" t="str">
        <f>IFERROR(_xlfn.XLOOKUP($A317,'Raw Data'!$A:$A,'Raw Data'!$BA:$BA),"")</f>
        <v/>
      </c>
      <c r="Y317" s="227" t="str">
        <f>IFERROR(_xlfn.XLOOKUP($A317,'Raw Data'!$A:$A,'Raw Data'!BJ:BJ),"")</f>
        <v/>
      </c>
      <c r="Z317" s="227" t="str">
        <f>IFERROR(_xlfn.XLOOKUP($A317,'Raw Data'!$A:$A,'Raw Data'!BK:BK),"")</f>
        <v/>
      </c>
      <c r="AA317" s="227" t="str">
        <f>IFERROR(_xlfn.XLOOKUP($A317,'Raw Data'!$A:$A,'Raw Data'!BL:BL),"")</f>
        <v/>
      </c>
      <c r="AB317" s="227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27">
        <f>IFERROR(_xlfn.XLOOKUP($D317,'Modelling New'!$D:$D,'Modelling New'!$T:$T)*1000,"")</f>
        <v>114630.12204031929</v>
      </c>
      <c r="AE317" s="234">
        <f>IFERROR(_xlfn.XLOOKUP($D317,'Modelling New'!$D:$D,'Modelling New'!$O:$O),"")</f>
        <v>0.68428623396557675</v>
      </c>
      <c r="AF317" s="234">
        <f>IFERROR(_xlfn.XLOOKUP($D317,'Modelling New'!$D:$D,'Modelling New'!$W:$W),"")</f>
        <v>0.19652863564785167</v>
      </c>
      <c r="AG317" s="234">
        <f>IFERROR(_xlfn.XLOOKUP($D317,'Modelling New'!$D:$D,'Modelling New'!AE:AE),"")</f>
        <v>0.995</v>
      </c>
      <c r="AH317" s="234">
        <v>0.99750000000000005</v>
      </c>
      <c r="AI317" s="6"/>
      <c r="AJ317" s="6"/>
      <c r="AK317" s="6"/>
      <c r="AL317" s="6"/>
      <c r="AM317" s="6"/>
      <c r="AN317" s="231"/>
      <c r="AO317" s="234"/>
      <c r="AP317" s="234"/>
      <c r="AQ317" s="234"/>
      <c r="AR317" s="227">
        <f>IFERROR(_xlfn.XLOOKUP($D317,'Modelling New'!$D:$D,'Modelling New'!$N:$N),"")</f>
        <v>24.303100000000001</v>
      </c>
      <c r="AS317" s="227"/>
    </row>
    <row r="318" spans="1:45" x14ac:dyDescent="0.35">
      <c r="A318" s="226">
        <f t="shared" si="22"/>
        <v>46061</v>
      </c>
      <c r="B318" s="227">
        <f>YEAR(Daily_KPI[[#This Row],[Date]])+IF(MONTH(Daily_KPI[[#This Row],[Date]])&gt;=4,1,0)</f>
        <v>2026</v>
      </c>
      <c r="C318" s="6">
        <f>YEAR(Daily_KPI[[#This Row],[Date]])</f>
        <v>2026</v>
      </c>
      <c r="D318" s="228">
        <f>Daily_KPI[[#This Row],[Date]]-DAY(Daily_KPI[[#This Row],[Date]])+1</f>
        <v>46054</v>
      </c>
      <c r="E318" s="6">
        <f t="shared" si="24"/>
        <v>28</v>
      </c>
      <c r="F318" s="229" t="str">
        <f>IFERROR(_xlfn.XLOOKUP($A318,'Raw Data'!$A:$A,'Raw Data'!$BR:$BR),"")</f>
        <v/>
      </c>
      <c r="G318" s="230" t="str">
        <f>IFERROR(_xlfn.XLOOKUP($A318,'Raw Data'!$A:$A,'Raw Data'!$AO:$AO),"")</f>
        <v/>
      </c>
      <c r="H318" s="230"/>
      <c r="I318" s="230" t="str">
        <f>IFERROR(_xlfn.XLOOKUP($A318,'Raw Data'!$A:$A,'Raw Data'!$AR:$AR),"")</f>
        <v/>
      </c>
      <c r="J318" s="230"/>
      <c r="K318" s="230" t="str">
        <f>IFERROR(_xlfn.XLOOKUP($A318,'Raw Data'!$A:$A,'Raw Data'!$AV:$AV),"")</f>
        <v/>
      </c>
      <c r="L318" s="230" t="str">
        <f>IFERROR(_xlfn.XLOOKUP($A318,'Raw Data'!$A:$A,'Raw Data'!$AW:$AW),"")</f>
        <v/>
      </c>
      <c r="M318" s="230" t="str">
        <f>IFERROR(_xlfn.XLOOKUP($A318,'Raw Data'!$A:$A,'Raw Data'!$AX:$AX),"")</f>
        <v/>
      </c>
      <c r="N318" s="230" t="str">
        <f>IFERROR(_xlfn.XLOOKUP($A318,'Raw Data'!$A:$A,'Raw Data'!$AY:$AY),"")</f>
        <v/>
      </c>
      <c r="O318" s="231" t="str">
        <f>IFERROR(1-(SUMIF('Plant BD'!$B:$B,A318,'Plant BD'!$AE:$AE)/(AA318+SUMIF('Plant BD'!$B:$B,A318,'Plant BD'!$AE:$AE))),"")</f>
        <v/>
      </c>
      <c r="P318" s="231"/>
      <c r="Q318" s="232"/>
      <c r="R318" s="231" t="str">
        <f>IFERROR(1-(SUMIF('Grid BD'!$B:$B,$A318,'Grid BD'!$AD:$AD)/($AA318+SUMIF('Grid BD'!$B:$B,$A318,'Grid BD'!AD:AD))),"")</f>
        <v/>
      </c>
      <c r="S318" s="6"/>
      <c r="T318" s="232"/>
      <c r="U318" s="233" t="str">
        <f t="shared" si="21"/>
        <v/>
      </c>
      <c r="V318" s="233"/>
      <c r="W318" s="234" t="str">
        <f t="shared" si="23"/>
        <v/>
      </c>
      <c r="X318" s="227" t="str">
        <f>IFERROR(_xlfn.XLOOKUP($A318,'Raw Data'!$A:$A,'Raw Data'!$BA:$BA),"")</f>
        <v/>
      </c>
      <c r="Y318" s="227" t="str">
        <f>IFERROR(_xlfn.XLOOKUP($A318,'Raw Data'!$A:$A,'Raw Data'!BJ:BJ),"")</f>
        <v/>
      </c>
      <c r="Z318" s="227" t="str">
        <f>IFERROR(_xlfn.XLOOKUP($A318,'Raw Data'!$A:$A,'Raw Data'!BK:BK),"")</f>
        <v/>
      </c>
      <c r="AA318" s="227" t="str">
        <f>IFERROR(_xlfn.XLOOKUP($A318,'Raw Data'!$A:$A,'Raw Data'!BL:BL),"")</f>
        <v/>
      </c>
      <c r="AB318" s="227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27">
        <f>IFERROR(_xlfn.XLOOKUP($D318,'Modelling New'!$D:$D,'Modelling New'!$T:$T)*1000,"")</f>
        <v>114630.12204031929</v>
      </c>
      <c r="AE318" s="234">
        <f>IFERROR(_xlfn.XLOOKUP($D318,'Modelling New'!$D:$D,'Modelling New'!$O:$O),"")</f>
        <v>0.68428623396557675</v>
      </c>
      <c r="AF318" s="234">
        <f>IFERROR(_xlfn.XLOOKUP($D318,'Modelling New'!$D:$D,'Modelling New'!$W:$W),"")</f>
        <v>0.19652863564785167</v>
      </c>
      <c r="AG318" s="234">
        <f>IFERROR(_xlfn.XLOOKUP($D318,'Modelling New'!$D:$D,'Modelling New'!AE:AE),"")</f>
        <v>0.995</v>
      </c>
      <c r="AH318" s="234">
        <v>0.99750000000000005</v>
      </c>
      <c r="AI318" s="6"/>
      <c r="AJ318" s="6"/>
      <c r="AK318" s="6"/>
      <c r="AL318" s="6"/>
      <c r="AM318" s="6"/>
      <c r="AN318" s="231"/>
      <c r="AO318" s="234"/>
      <c r="AP318" s="234"/>
      <c r="AQ318" s="234"/>
      <c r="AR318" s="227">
        <f>IFERROR(_xlfn.XLOOKUP($D318,'Modelling New'!$D:$D,'Modelling New'!$N:$N),"")</f>
        <v>24.303100000000001</v>
      </c>
      <c r="AS318" s="227"/>
    </row>
    <row r="319" spans="1:45" x14ac:dyDescent="0.35">
      <c r="A319" s="226">
        <f t="shared" si="22"/>
        <v>46062</v>
      </c>
      <c r="B319" s="227">
        <f>YEAR(Daily_KPI[[#This Row],[Date]])+IF(MONTH(Daily_KPI[[#This Row],[Date]])&gt;=4,1,0)</f>
        <v>2026</v>
      </c>
      <c r="C319" s="6">
        <f>YEAR(Daily_KPI[[#This Row],[Date]])</f>
        <v>2026</v>
      </c>
      <c r="D319" s="228">
        <f>Daily_KPI[[#This Row],[Date]]-DAY(Daily_KPI[[#This Row],[Date]])+1</f>
        <v>46054</v>
      </c>
      <c r="E319" s="6">
        <f t="shared" si="24"/>
        <v>28</v>
      </c>
      <c r="F319" s="229" t="str">
        <f>IFERROR(_xlfn.XLOOKUP($A319,'Raw Data'!$A:$A,'Raw Data'!$BR:$BR),"")</f>
        <v/>
      </c>
      <c r="G319" s="230" t="str">
        <f>IFERROR(_xlfn.XLOOKUP($A319,'Raw Data'!$A:$A,'Raw Data'!$AO:$AO),"")</f>
        <v/>
      </c>
      <c r="H319" s="230"/>
      <c r="I319" s="230" t="str">
        <f>IFERROR(_xlfn.XLOOKUP($A319,'Raw Data'!$A:$A,'Raw Data'!$AR:$AR),"")</f>
        <v/>
      </c>
      <c r="J319" s="230"/>
      <c r="K319" s="230" t="str">
        <f>IFERROR(_xlfn.XLOOKUP($A319,'Raw Data'!$A:$A,'Raw Data'!$AV:$AV),"")</f>
        <v/>
      </c>
      <c r="L319" s="230" t="str">
        <f>IFERROR(_xlfn.XLOOKUP($A319,'Raw Data'!$A:$A,'Raw Data'!$AW:$AW),"")</f>
        <v/>
      </c>
      <c r="M319" s="230" t="str">
        <f>IFERROR(_xlfn.XLOOKUP($A319,'Raw Data'!$A:$A,'Raw Data'!$AX:$AX),"")</f>
        <v/>
      </c>
      <c r="N319" s="230" t="str">
        <f>IFERROR(_xlfn.XLOOKUP($A319,'Raw Data'!$A:$A,'Raw Data'!$AY:$AY),"")</f>
        <v/>
      </c>
      <c r="O319" s="231" t="str">
        <f>IFERROR(1-(SUMIF('Plant BD'!$B:$B,A319,'Plant BD'!$AE:$AE)/(AA319+SUMIF('Plant BD'!$B:$B,A319,'Plant BD'!$AE:$AE))),"")</f>
        <v/>
      </c>
      <c r="P319" s="231"/>
      <c r="Q319" s="232"/>
      <c r="R319" s="231" t="str">
        <f>IFERROR(1-(SUMIF('Grid BD'!$B:$B,$A319,'Grid BD'!$AD:$AD)/($AA319+SUMIF('Grid BD'!$B:$B,$A319,'Grid BD'!AD:AD))),"")</f>
        <v/>
      </c>
      <c r="S319" s="6"/>
      <c r="T319" s="232"/>
      <c r="U319" s="233" t="str">
        <f t="shared" si="21"/>
        <v/>
      </c>
      <c r="V319" s="233"/>
      <c r="W319" s="234" t="str">
        <f t="shared" si="23"/>
        <v/>
      </c>
      <c r="X319" s="227" t="str">
        <f>IFERROR(_xlfn.XLOOKUP($A319,'Raw Data'!$A:$A,'Raw Data'!$BA:$BA),"")</f>
        <v/>
      </c>
      <c r="Y319" s="227" t="str">
        <f>IFERROR(_xlfn.XLOOKUP($A319,'Raw Data'!$A:$A,'Raw Data'!BJ:BJ),"")</f>
        <v/>
      </c>
      <c r="Z319" s="227" t="str">
        <f>IFERROR(_xlfn.XLOOKUP($A319,'Raw Data'!$A:$A,'Raw Data'!BK:BK),"")</f>
        <v/>
      </c>
      <c r="AA319" s="227" t="str">
        <f>IFERROR(_xlfn.XLOOKUP($A319,'Raw Data'!$A:$A,'Raw Data'!BL:BL),"")</f>
        <v/>
      </c>
      <c r="AB319" s="227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27">
        <f>IFERROR(_xlfn.XLOOKUP($D319,'Modelling New'!$D:$D,'Modelling New'!$T:$T)*1000,"")</f>
        <v>114630.12204031929</v>
      </c>
      <c r="AE319" s="234">
        <f>IFERROR(_xlfn.XLOOKUP($D319,'Modelling New'!$D:$D,'Modelling New'!$O:$O),"")</f>
        <v>0.68428623396557675</v>
      </c>
      <c r="AF319" s="234">
        <f>IFERROR(_xlfn.XLOOKUP($D319,'Modelling New'!$D:$D,'Modelling New'!$W:$W),"")</f>
        <v>0.19652863564785167</v>
      </c>
      <c r="AG319" s="234">
        <f>IFERROR(_xlfn.XLOOKUP($D319,'Modelling New'!$D:$D,'Modelling New'!AE:AE),"")</f>
        <v>0.995</v>
      </c>
      <c r="AH319" s="234">
        <v>0.99750000000000005</v>
      </c>
      <c r="AI319" s="6"/>
      <c r="AJ319" s="6"/>
      <c r="AK319" s="6"/>
      <c r="AL319" s="6"/>
      <c r="AM319" s="6"/>
      <c r="AN319" s="231"/>
      <c r="AO319" s="234"/>
      <c r="AP319" s="234"/>
      <c r="AQ319" s="234"/>
      <c r="AR319" s="227">
        <f>IFERROR(_xlfn.XLOOKUP($D319,'Modelling New'!$D:$D,'Modelling New'!$N:$N),"")</f>
        <v>24.303100000000001</v>
      </c>
      <c r="AS319" s="227"/>
    </row>
    <row r="320" spans="1:45" x14ac:dyDescent="0.35">
      <c r="A320" s="226">
        <f t="shared" si="22"/>
        <v>46063</v>
      </c>
      <c r="B320" s="227">
        <f>YEAR(Daily_KPI[[#This Row],[Date]])+IF(MONTH(Daily_KPI[[#This Row],[Date]])&gt;=4,1,0)</f>
        <v>2026</v>
      </c>
      <c r="C320" s="6">
        <f>YEAR(Daily_KPI[[#This Row],[Date]])</f>
        <v>2026</v>
      </c>
      <c r="D320" s="228">
        <f>Daily_KPI[[#This Row],[Date]]-DAY(Daily_KPI[[#This Row],[Date]])+1</f>
        <v>46054</v>
      </c>
      <c r="E320" s="6">
        <f t="shared" si="24"/>
        <v>28</v>
      </c>
      <c r="F320" s="229" t="str">
        <f>IFERROR(_xlfn.XLOOKUP($A320,'Raw Data'!$A:$A,'Raw Data'!$BR:$BR),"")</f>
        <v/>
      </c>
      <c r="G320" s="230" t="str">
        <f>IFERROR(_xlfn.XLOOKUP($A320,'Raw Data'!$A:$A,'Raw Data'!$AO:$AO),"")</f>
        <v/>
      </c>
      <c r="H320" s="230"/>
      <c r="I320" s="230" t="str">
        <f>IFERROR(_xlfn.XLOOKUP($A320,'Raw Data'!$A:$A,'Raw Data'!$AR:$AR),"")</f>
        <v/>
      </c>
      <c r="J320" s="230"/>
      <c r="K320" s="230" t="str">
        <f>IFERROR(_xlfn.XLOOKUP($A320,'Raw Data'!$A:$A,'Raw Data'!$AV:$AV),"")</f>
        <v/>
      </c>
      <c r="L320" s="230" t="str">
        <f>IFERROR(_xlfn.XLOOKUP($A320,'Raw Data'!$A:$A,'Raw Data'!$AW:$AW),"")</f>
        <v/>
      </c>
      <c r="M320" s="230" t="str">
        <f>IFERROR(_xlfn.XLOOKUP($A320,'Raw Data'!$A:$A,'Raw Data'!$AX:$AX),"")</f>
        <v/>
      </c>
      <c r="N320" s="230" t="str">
        <f>IFERROR(_xlfn.XLOOKUP($A320,'Raw Data'!$A:$A,'Raw Data'!$AY:$AY),"")</f>
        <v/>
      </c>
      <c r="O320" s="231" t="str">
        <f>IFERROR(1-(SUMIF('Plant BD'!$B:$B,A320,'Plant BD'!$AE:$AE)/(AA320+SUMIF('Plant BD'!$B:$B,A320,'Plant BD'!$AE:$AE))),"")</f>
        <v/>
      </c>
      <c r="P320" s="231"/>
      <c r="Q320" s="232"/>
      <c r="R320" s="231" t="str">
        <f>IFERROR(1-(SUMIF('Grid BD'!$B:$B,$A320,'Grid BD'!$AD:$AD)/($AA320+SUMIF('Grid BD'!$B:$B,$A320,'Grid BD'!AD:AD))),"")</f>
        <v/>
      </c>
      <c r="S320" s="6"/>
      <c r="T320" s="232"/>
      <c r="U320" s="233" t="str">
        <f t="shared" si="21"/>
        <v/>
      </c>
      <c r="V320" s="233"/>
      <c r="W320" s="234" t="str">
        <f t="shared" si="23"/>
        <v/>
      </c>
      <c r="X320" s="227" t="str">
        <f>IFERROR(_xlfn.XLOOKUP($A320,'Raw Data'!$A:$A,'Raw Data'!$BA:$BA),"")</f>
        <v/>
      </c>
      <c r="Y320" s="227" t="str">
        <f>IFERROR(_xlfn.XLOOKUP($A320,'Raw Data'!$A:$A,'Raw Data'!BJ:BJ),"")</f>
        <v/>
      </c>
      <c r="Z320" s="227" t="str">
        <f>IFERROR(_xlfn.XLOOKUP($A320,'Raw Data'!$A:$A,'Raw Data'!BK:BK),"")</f>
        <v/>
      </c>
      <c r="AA320" s="227" t="str">
        <f>IFERROR(_xlfn.XLOOKUP($A320,'Raw Data'!$A:$A,'Raw Data'!BL:BL),"")</f>
        <v/>
      </c>
      <c r="AB320" s="227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27">
        <f>IFERROR(_xlfn.XLOOKUP($D320,'Modelling New'!$D:$D,'Modelling New'!$T:$T)*1000,"")</f>
        <v>114630.12204031929</v>
      </c>
      <c r="AE320" s="234">
        <f>IFERROR(_xlfn.XLOOKUP($D320,'Modelling New'!$D:$D,'Modelling New'!$O:$O),"")</f>
        <v>0.68428623396557675</v>
      </c>
      <c r="AF320" s="234">
        <f>IFERROR(_xlfn.XLOOKUP($D320,'Modelling New'!$D:$D,'Modelling New'!$W:$W),"")</f>
        <v>0.19652863564785167</v>
      </c>
      <c r="AG320" s="234">
        <f>IFERROR(_xlfn.XLOOKUP($D320,'Modelling New'!$D:$D,'Modelling New'!AE:AE),"")</f>
        <v>0.995</v>
      </c>
      <c r="AH320" s="234">
        <v>0.99750000000000005</v>
      </c>
      <c r="AI320" s="6"/>
      <c r="AJ320" s="6"/>
      <c r="AK320" s="6"/>
      <c r="AL320" s="6"/>
      <c r="AM320" s="6"/>
      <c r="AN320" s="231"/>
      <c r="AO320" s="234"/>
      <c r="AP320" s="234"/>
      <c r="AQ320" s="234"/>
      <c r="AR320" s="227">
        <f>IFERROR(_xlfn.XLOOKUP($D320,'Modelling New'!$D:$D,'Modelling New'!$N:$N),"")</f>
        <v>24.303100000000001</v>
      </c>
      <c r="AS320" s="227"/>
    </row>
    <row r="321" spans="1:45" x14ac:dyDescent="0.35">
      <c r="A321" s="226">
        <f t="shared" si="22"/>
        <v>46064</v>
      </c>
      <c r="B321" s="227">
        <f>YEAR(Daily_KPI[[#This Row],[Date]])+IF(MONTH(Daily_KPI[[#This Row],[Date]])&gt;=4,1,0)</f>
        <v>2026</v>
      </c>
      <c r="C321" s="6">
        <f>YEAR(Daily_KPI[[#This Row],[Date]])</f>
        <v>2026</v>
      </c>
      <c r="D321" s="228">
        <f>Daily_KPI[[#This Row],[Date]]-DAY(Daily_KPI[[#This Row],[Date]])+1</f>
        <v>46054</v>
      </c>
      <c r="E321" s="6">
        <f t="shared" si="24"/>
        <v>28</v>
      </c>
      <c r="F321" s="229" t="str">
        <f>IFERROR(_xlfn.XLOOKUP($A321,'Raw Data'!$A:$A,'Raw Data'!$BR:$BR),"")</f>
        <v/>
      </c>
      <c r="G321" s="230" t="str">
        <f>IFERROR(_xlfn.XLOOKUP($A321,'Raw Data'!$A:$A,'Raw Data'!$AO:$AO),"")</f>
        <v/>
      </c>
      <c r="H321" s="230"/>
      <c r="I321" s="230" t="str">
        <f>IFERROR(_xlfn.XLOOKUP($A321,'Raw Data'!$A:$A,'Raw Data'!$AR:$AR),"")</f>
        <v/>
      </c>
      <c r="J321" s="230"/>
      <c r="K321" s="230" t="str">
        <f>IFERROR(_xlfn.XLOOKUP($A321,'Raw Data'!$A:$A,'Raw Data'!$AV:$AV),"")</f>
        <v/>
      </c>
      <c r="L321" s="230" t="str">
        <f>IFERROR(_xlfn.XLOOKUP($A321,'Raw Data'!$A:$A,'Raw Data'!$AW:$AW),"")</f>
        <v/>
      </c>
      <c r="M321" s="230" t="str">
        <f>IFERROR(_xlfn.XLOOKUP($A321,'Raw Data'!$A:$A,'Raw Data'!$AX:$AX),"")</f>
        <v/>
      </c>
      <c r="N321" s="230" t="str">
        <f>IFERROR(_xlfn.XLOOKUP($A321,'Raw Data'!$A:$A,'Raw Data'!$AY:$AY),"")</f>
        <v/>
      </c>
      <c r="O321" s="231" t="str">
        <f>IFERROR(1-(SUMIF('Plant BD'!$B:$B,A321,'Plant BD'!$AE:$AE)/(AA321+SUMIF('Plant BD'!$B:$B,A321,'Plant BD'!$AE:$AE))),"")</f>
        <v/>
      </c>
      <c r="P321" s="231"/>
      <c r="Q321" s="232"/>
      <c r="R321" s="231" t="str">
        <f>IFERROR(1-(SUMIF('Grid BD'!$B:$B,$A321,'Grid BD'!$AD:$AD)/($AA321+SUMIF('Grid BD'!$B:$B,$A321,'Grid BD'!AD:AD))),"")</f>
        <v/>
      </c>
      <c r="S321" s="6"/>
      <c r="T321" s="232"/>
      <c r="U321" s="233" t="str">
        <f t="shared" si="21"/>
        <v/>
      </c>
      <c r="V321" s="233"/>
      <c r="W321" s="234" t="str">
        <f t="shared" si="23"/>
        <v/>
      </c>
      <c r="X321" s="227" t="str">
        <f>IFERROR(_xlfn.XLOOKUP($A321,'Raw Data'!$A:$A,'Raw Data'!$BA:$BA),"")</f>
        <v/>
      </c>
      <c r="Y321" s="227" t="str">
        <f>IFERROR(_xlfn.XLOOKUP($A321,'Raw Data'!$A:$A,'Raw Data'!BJ:BJ),"")</f>
        <v/>
      </c>
      <c r="Z321" s="227" t="str">
        <f>IFERROR(_xlfn.XLOOKUP($A321,'Raw Data'!$A:$A,'Raw Data'!BK:BK),"")</f>
        <v/>
      </c>
      <c r="AA321" s="227" t="str">
        <f>IFERROR(_xlfn.XLOOKUP($A321,'Raw Data'!$A:$A,'Raw Data'!BL:BL),"")</f>
        <v/>
      </c>
      <c r="AB321" s="227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27">
        <f>IFERROR(_xlfn.XLOOKUP($D321,'Modelling New'!$D:$D,'Modelling New'!$T:$T)*1000,"")</f>
        <v>114630.12204031929</v>
      </c>
      <c r="AE321" s="234">
        <f>IFERROR(_xlfn.XLOOKUP($D321,'Modelling New'!$D:$D,'Modelling New'!$O:$O),"")</f>
        <v>0.68428623396557675</v>
      </c>
      <c r="AF321" s="234">
        <f>IFERROR(_xlfn.XLOOKUP($D321,'Modelling New'!$D:$D,'Modelling New'!$W:$W),"")</f>
        <v>0.19652863564785167</v>
      </c>
      <c r="AG321" s="234">
        <f>IFERROR(_xlfn.XLOOKUP($D321,'Modelling New'!$D:$D,'Modelling New'!AE:AE),"")</f>
        <v>0.995</v>
      </c>
      <c r="AH321" s="234">
        <v>0.99750000000000005</v>
      </c>
      <c r="AI321" s="6"/>
      <c r="AJ321" s="6"/>
      <c r="AK321" s="6"/>
      <c r="AL321" s="6"/>
      <c r="AM321" s="6"/>
      <c r="AN321" s="231"/>
      <c r="AO321" s="234"/>
      <c r="AP321" s="234"/>
      <c r="AQ321" s="234"/>
      <c r="AR321" s="227">
        <f>IFERROR(_xlfn.XLOOKUP($D321,'Modelling New'!$D:$D,'Modelling New'!$N:$N),"")</f>
        <v>24.303100000000001</v>
      </c>
      <c r="AS321" s="227"/>
    </row>
    <row r="322" spans="1:45" x14ac:dyDescent="0.35">
      <c r="A322" s="226">
        <f t="shared" si="22"/>
        <v>46065</v>
      </c>
      <c r="B322" s="227">
        <f>YEAR(Daily_KPI[[#This Row],[Date]])+IF(MONTH(Daily_KPI[[#This Row],[Date]])&gt;=4,1,0)</f>
        <v>2026</v>
      </c>
      <c r="C322" s="6">
        <f>YEAR(Daily_KPI[[#This Row],[Date]])</f>
        <v>2026</v>
      </c>
      <c r="D322" s="228">
        <f>Daily_KPI[[#This Row],[Date]]-DAY(Daily_KPI[[#This Row],[Date]])+1</f>
        <v>46054</v>
      </c>
      <c r="E322" s="6">
        <f t="shared" si="24"/>
        <v>28</v>
      </c>
      <c r="F322" s="229" t="str">
        <f>IFERROR(_xlfn.XLOOKUP($A322,'Raw Data'!$A:$A,'Raw Data'!$BR:$BR),"")</f>
        <v/>
      </c>
      <c r="G322" s="230" t="str">
        <f>IFERROR(_xlfn.XLOOKUP($A322,'Raw Data'!$A:$A,'Raw Data'!$AO:$AO),"")</f>
        <v/>
      </c>
      <c r="H322" s="230"/>
      <c r="I322" s="230" t="str">
        <f>IFERROR(_xlfn.XLOOKUP($A322,'Raw Data'!$A:$A,'Raw Data'!$AR:$AR),"")</f>
        <v/>
      </c>
      <c r="J322" s="230"/>
      <c r="K322" s="230" t="str">
        <f>IFERROR(_xlfn.XLOOKUP($A322,'Raw Data'!$A:$A,'Raw Data'!$AV:$AV),"")</f>
        <v/>
      </c>
      <c r="L322" s="230" t="str">
        <f>IFERROR(_xlfn.XLOOKUP($A322,'Raw Data'!$A:$A,'Raw Data'!$AW:$AW),"")</f>
        <v/>
      </c>
      <c r="M322" s="230" t="str">
        <f>IFERROR(_xlfn.XLOOKUP($A322,'Raw Data'!$A:$A,'Raw Data'!$AX:$AX),"")</f>
        <v/>
      </c>
      <c r="N322" s="230" t="str">
        <f>IFERROR(_xlfn.XLOOKUP($A322,'Raw Data'!$A:$A,'Raw Data'!$AY:$AY),"")</f>
        <v/>
      </c>
      <c r="O322" s="231" t="str">
        <f>IFERROR(1-(SUMIF('Plant BD'!$B:$B,A322,'Plant BD'!$AE:$AE)/(AA322+SUMIF('Plant BD'!$B:$B,A322,'Plant BD'!$AE:$AE))),"")</f>
        <v/>
      </c>
      <c r="P322" s="231"/>
      <c r="Q322" s="232"/>
      <c r="R322" s="231" t="str">
        <f>IFERROR(1-(SUMIF('Grid BD'!$B:$B,$A322,'Grid BD'!$AD:$AD)/($AA322+SUMIF('Grid BD'!$B:$B,$A322,'Grid BD'!AD:AD))),"")</f>
        <v/>
      </c>
      <c r="S322" s="6"/>
      <c r="T322" s="232"/>
      <c r="U322" s="233" t="str">
        <f t="shared" si="21"/>
        <v/>
      </c>
      <c r="V322" s="233"/>
      <c r="W322" s="234" t="str">
        <f t="shared" si="23"/>
        <v/>
      </c>
      <c r="X322" s="227" t="str">
        <f>IFERROR(_xlfn.XLOOKUP($A322,'Raw Data'!$A:$A,'Raw Data'!$BA:$BA),"")</f>
        <v/>
      </c>
      <c r="Y322" s="227" t="str">
        <f>IFERROR(_xlfn.XLOOKUP($A322,'Raw Data'!$A:$A,'Raw Data'!BJ:BJ),"")</f>
        <v/>
      </c>
      <c r="Z322" s="227" t="str">
        <f>IFERROR(_xlfn.XLOOKUP($A322,'Raw Data'!$A:$A,'Raw Data'!BK:BK),"")</f>
        <v/>
      </c>
      <c r="AA322" s="227" t="str">
        <f>IFERROR(_xlfn.XLOOKUP($A322,'Raw Data'!$A:$A,'Raw Data'!BL:BL),"")</f>
        <v/>
      </c>
      <c r="AB322" s="227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27">
        <f>IFERROR(_xlfn.XLOOKUP($D322,'Modelling New'!$D:$D,'Modelling New'!$T:$T)*1000,"")</f>
        <v>114630.12204031929</v>
      </c>
      <c r="AE322" s="234">
        <f>IFERROR(_xlfn.XLOOKUP($D322,'Modelling New'!$D:$D,'Modelling New'!$O:$O),"")</f>
        <v>0.68428623396557675</v>
      </c>
      <c r="AF322" s="234">
        <f>IFERROR(_xlfn.XLOOKUP($D322,'Modelling New'!$D:$D,'Modelling New'!$W:$W),"")</f>
        <v>0.19652863564785167</v>
      </c>
      <c r="AG322" s="234">
        <f>IFERROR(_xlfn.XLOOKUP($D322,'Modelling New'!$D:$D,'Modelling New'!AE:AE),"")</f>
        <v>0.995</v>
      </c>
      <c r="AH322" s="234">
        <v>0.99750000000000005</v>
      </c>
      <c r="AI322" s="6"/>
      <c r="AJ322" s="6"/>
      <c r="AK322" s="6"/>
      <c r="AL322" s="6"/>
      <c r="AM322" s="6"/>
      <c r="AN322" s="231"/>
      <c r="AO322" s="234"/>
      <c r="AP322" s="234"/>
      <c r="AQ322" s="234"/>
      <c r="AR322" s="227">
        <f>IFERROR(_xlfn.XLOOKUP($D322,'Modelling New'!$D:$D,'Modelling New'!$N:$N),"")</f>
        <v>24.303100000000001</v>
      </c>
      <c r="AS322" s="227"/>
    </row>
    <row r="323" spans="1:45" x14ac:dyDescent="0.35">
      <c r="A323" s="226">
        <f t="shared" si="22"/>
        <v>46066</v>
      </c>
      <c r="B323" s="227">
        <f>YEAR(Daily_KPI[[#This Row],[Date]])+IF(MONTH(Daily_KPI[[#This Row],[Date]])&gt;=4,1,0)</f>
        <v>2026</v>
      </c>
      <c r="C323" s="6">
        <f>YEAR(Daily_KPI[[#This Row],[Date]])</f>
        <v>2026</v>
      </c>
      <c r="D323" s="228">
        <f>Daily_KPI[[#This Row],[Date]]-DAY(Daily_KPI[[#This Row],[Date]])+1</f>
        <v>46054</v>
      </c>
      <c r="E323" s="6">
        <f t="shared" si="24"/>
        <v>28</v>
      </c>
      <c r="F323" s="229" t="str">
        <f>IFERROR(_xlfn.XLOOKUP($A323,'Raw Data'!$A:$A,'Raw Data'!$BR:$BR),"")</f>
        <v/>
      </c>
      <c r="G323" s="230" t="str">
        <f>IFERROR(_xlfn.XLOOKUP($A323,'Raw Data'!$A:$A,'Raw Data'!$AO:$AO),"")</f>
        <v/>
      </c>
      <c r="H323" s="230"/>
      <c r="I323" s="230" t="str">
        <f>IFERROR(_xlfn.XLOOKUP($A323,'Raw Data'!$A:$A,'Raw Data'!$AR:$AR),"")</f>
        <v/>
      </c>
      <c r="J323" s="230"/>
      <c r="K323" s="230" t="str">
        <f>IFERROR(_xlfn.XLOOKUP($A323,'Raw Data'!$A:$A,'Raw Data'!$AV:$AV),"")</f>
        <v/>
      </c>
      <c r="L323" s="230" t="str">
        <f>IFERROR(_xlfn.XLOOKUP($A323,'Raw Data'!$A:$A,'Raw Data'!$AW:$AW),"")</f>
        <v/>
      </c>
      <c r="M323" s="230" t="str">
        <f>IFERROR(_xlfn.XLOOKUP($A323,'Raw Data'!$A:$A,'Raw Data'!$AX:$AX),"")</f>
        <v/>
      </c>
      <c r="N323" s="230" t="str">
        <f>IFERROR(_xlfn.XLOOKUP($A323,'Raw Data'!$A:$A,'Raw Data'!$AY:$AY),"")</f>
        <v/>
      </c>
      <c r="O323" s="231" t="str">
        <f>IFERROR(1-(SUMIF('Plant BD'!$B:$B,A323,'Plant BD'!$AE:$AE)/(AA323+SUMIF('Plant BD'!$B:$B,A323,'Plant BD'!$AE:$AE))),"")</f>
        <v/>
      </c>
      <c r="P323" s="231"/>
      <c r="Q323" s="232"/>
      <c r="R323" s="231" t="str">
        <f>IFERROR(1-(SUMIF('Grid BD'!$B:$B,$A323,'Grid BD'!$AD:$AD)/($AA323+SUMIF('Grid BD'!$B:$B,$A323,'Grid BD'!AD:AD))),"")</f>
        <v/>
      </c>
      <c r="S323" s="6"/>
      <c r="T323" s="232"/>
      <c r="U323" s="233" t="str">
        <f t="shared" si="21"/>
        <v/>
      </c>
      <c r="V323" s="233"/>
      <c r="W323" s="234" t="str">
        <f t="shared" si="23"/>
        <v/>
      </c>
      <c r="X323" s="227" t="str">
        <f>IFERROR(_xlfn.XLOOKUP($A323,'Raw Data'!$A:$A,'Raw Data'!$BA:$BA),"")</f>
        <v/>
      </c>
      <c r="Y323" s="227" t="str">
        <f>IFERROR(_xlfn.XLOOKUP($A323,'Raw Data'!$A:$A,'Raw Data'!BJ:BJ),"")</f>
        <v/>
      </c>
      <c r="Z323" s="227" t="str">
        <f>IFERROR(_xlfn.XLOOKUP($A323,'Raw Data'!$A:$A,'Raw Data'!BK:BK),"")</f>
        <v/>
      </c>
      <c r="AA323" s="227" t="str">
        <f>IFERROR(_xlfn.XLOOKUP($A323,'Raw Data'!$A:$A,'Raw Data'!BL:BL),"")</f>
        <v/>
      </c>
      <c r="AB323" s="227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27">
        <f>IFERROR(_xlfn.XLOOKUP($D323,'Modelling New'!$D:$D,'Modelling New'!$T:$T)*1000,"")</f>
        <v>114630.12204031929</v>
      </c>
      <c r="AE323" s="234">
        <f>IFERROR(_xlfn.XLOOKUP($D323,'Modelling New'!$D:$D,'Modelling New'!$O:$O),"")</f>
        <v>0.68428623396557675</v>
      </c>
      <c r="AF323" s="234">
        <f>IFERROR(_xlfn.XLOOKUP($D323,'Modelling New'!$D:$D,'Modelling New'!$W:$W),"")</f>
        <v>0.19652863564785167</v>
      </c>
      <c r="AG323" s="234">
        <f>IFERROR(_xlfn.XLOOKUP($D323,'Modelling New'!$D:$D,'Modelling New'!AE:AE),"")</f>
        <v>0.995</v>
      </c>
      <c r="AH323" s="234">
        <v>0.99750000000000005</v>
      </c>
      <c r="AI323" s="6"/>
      <c r="AJ323" s="6"/>
      <c r="AK323" s="6"/>
      <c r="AL323" s="6"/>
      <c r="AM323" s="6"/>
      <c r="AN323" s="231"/>
      <c r="AO323" s="234"/>
      <c r="AP323" s="234"/>
      <c r="AQ323" s="234"/>
      <c r="AR323" s="227">
        <f>IFERROR(_xlfn.XLOOKUP($D323,'Modelling New'!$D:$D,'Modelling New'!$N:$N),"")</f>
        <v>24.303100000000001</v>
      </c>
      <c r="AS323" s="227"/>
    </row>
    <row r="324" spans="1:45" x14ac:dyDescent="0.35">
      <c r="A324" s="226">
        <f t="shared" si="22"/>
        <v>46067</v>
      </c>
      <c r="B324" s="227">
        <f>YEAR(Daily_KPI[[#This Row],[Date]])+IF(MONTH(Daily_KPI[[#This Row],[Date]])&gt;=4,1,0)</f>
        <v>2026</v>
      </c>
      <c r="C324" s="6">
        <f>YEAR(Daily_KPI[[#This Row],[Date]])</f>
        <v>2026</v>
      </c>
      <c r="D324" s="228">
        <f>Daily_KPI[[#This Row],[Date]]-DAY(Daily_KPI[[#This Row],[Date]])+1</f>
        <v>46054</v>
      </c>
      <c r="E324" s="6">
        <f t="shared" si="24"/>
        <v>28</v>
      </c>
      <c r="F324" s="229" t="str">
        <f>IFERROR(_xlfn.XLOOKUP($A324,'Raw Data'!$A:$A,'Raw Data'!$BR:$BR),"")</f>
        <v/>
      </c>
      <c r="G324" s="230" t="str">
        <f>IFERROR(_xlfn.XLOOKUP($A324,'Raw Data'!$A:$A,'Raw Data'!$AO:$AO),"")</f>
        <v/>
      </c>
      <c r="H324" s="230"/>
      <c r="I324" s="230" t="str">
        <f>IFERROR(_xlfn.XLOOKUP($A324,'Raw Data'!$A:$A,'Raw Data'!$AR:$AR),"")</f>
        <v/>
      </c>
      <c r="J324" s="230"/>
      <c r="K324" s="230" t="str">
        <f>IFERROR(_xlfn.XLOOKUP($A324,'Raw Data'!$A:$A,'Raw Data'!$AV:$AV),"")</f>
        <v/>
      </c>
      <c r="L324" s="230" t="str">
        <f>IFERROR(_xlfn.XLOOKUP($A324,'Raw Data'!$A:$A,'Raw Data'!$AW:$AW),"")</f>
        <v/>
      </c>
      <c r="M324" s="230" t="str">
        <f>IFERROR(_xlfn.XLOOKUP($A324,'Raw Data'!$A:$A,'Raw Data'!$AX:$AX),"")</f>
        <v/>
      </c>
      <c r="N324" s="230" t="str">
        <f>IFERROR(_xlfn.XLOOKUP($A324,'Raw Data'!$A:$A,'Raw Data'!$AY:$AY),"")</f>
        <v/>
      </c>
      <c r="O324" s="231" t="str">
        <f>IFERROR(1-(SUMIF('Plant BD'!$B:$B,A324,'Plant BD'!$AE:$AE)/(AA324+SUMIF('Plant BD'!$B:$B,A324,'Plant BD'!$AE:$AE))),"")</f>
        <v/>
      </c>
      <c r="P324" s="231"/>
      <c r="Q324" s="232"/>
      <c r="R324" s="231" t="str">
        <f>IFERROR(1-(SUMIF('Grid BD'!$B:$B,$A324,'Grid BD'!$AD:$AD)/($AA324+SUMIF('Grid BD'!$B:$B,$A324,'Grid BD'!AD:AD))),"")</f>
        <v/>
      </c>
      <c r="S324" s="6"/>
      <c r="T324" s="232"/>
      <c r="U324" s="233" t="str">
        <f t="shared" si="21"/>
        <v/>
      </c>
      <c r="V324" s="233"/>
      <c r="W324" s="234" t="str">
        <f t="shared" si="23"/>
        <v/>
      </c>
      <c r="X324" s="227" t="str">
        <f>IFERROR(_xlfn.XLOOKUP($A324,'Raw Data'!$A:$A,'Raw Data'!$BA:$BA),"")</f>
        <v/>
      </c>
      <c r="Y324" s="227" t="str">
        <f>IFERROR(_xlfn.XLOOKUP($A324,'Raw Data'!$A:$A,'Raw Data'!BJ:BJ),"")</f>
        <v/>
      </c>
      <c r="Z324" s="227" t="str">
        <f>IFERROR(_xlfn.XLOOKUP($A324,'Raw Data'!$A:$A,'Raw Data'!BK:BK),"")</f>
        <v/>
      </c>
      <c r="AA324" s="227" t="str">
        <f>IFERROR(_xlfn.XLOOKUP($A324,'Raw Data'!$A:$A,'Raw Data'!BL:BL),"")</f>
        <v/>
      </c>
      <c r="AB324" s="227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27">
        <f>IFERROR(_xlfn.XLOOKUP($D324,'Modelling New'!$D:$D,'Modelling New'!$T:$T)*1000,"")</f>
        <v>114630.12204031929</v>
      </c>
      <c r="AE324" s="234">
        <f>IFERROR(_xlfn.XLOOKUP($D324,'Modelling New'!$D:$D,'Modelling New'!$O:$O),"")</f>
        <v>0.68428623396557675</v>
      </c>
      <c r="AF324" s="234">
        <f>IFERROR(_xlfn.XLOOKUP($D324,'Modelling New'!$D:$D,'Modelling New'!$W:$W),"")</f>
        <v>0.19652863564785167</v>
      </c>
      <c r="AG324" s="234">
        <f>IFERROR(_xlfn.XLOOKUP($D324,'Modelling New'!$D:$D,'Modelling New'!AE:AE),"")</f>
        <v>0.995</v>
      </c>
      <c r="AH324" s="234">
        <v>0.99750000000000005</v>
      </c>
      <c r="AI324" s="6"/>
      <c r="AJ324" s="6"/>
      <c r="AK324" s="6"/>
      <c r="AL324" s="6"/>
      <c r="AM324" s="6"/>
      <c r="AN324" s="231"/>
      <c r="AO324" s="234"/>
      <c r="AP324" s="234"/>
      <c r="AQ324" s="234"/>
      <c r="AR324" s="227">
        <f>IFERROR(_xlfn.XLOOKUP($D324,'Modelling New'!$D:$D,'Modelling New'!$N:$N),"")</f>
        <v>24.303100000000001</v>
      </c>
      <c r="AS324" s="227"/>
    </row>
    <row r="325" spans="1:45" x14ac:dyDescent="0.35">
      <c r="A325" s="226">
        <f t="shared" si="22"/>
        <v>46068</v>
      </c>
      <c r="B325" s="227">
        <f>YEAR(Daily_KPI[[#This Row],[Date]])+IF(MONTH(Daily_KPI[[#This Row],[Date]])&gt;=4,1,0)</f>
        <v>2026</v>
      </c>
      <c r="C325" s="6">
        <f>YEAR(Daily_KPI[[#This Row],[Date]])</f>
        <v>2026</v>
      </c>
      <c r="D325" s="228">
        <f>Daily_KPI[[#This Row],[Date]]-DAY(Daily_KPI[[#This Row],[Date]])+1</f>
        <v>46054</v>
      </c>
      <c r="E325" s="6">
        <f t="shared" si="24"/>
        <v>28</v>
      </c>
      <c r="F325" s="229" t="str">
        <f>IFERROR(_xlfn.XLOOKUP($A325,'Raw Data'!$A:$A,'Raw Data'!$BR:$BR),"")</f>
        <v/>
      </c>
      <c r="G325" s="230" t="str">
        <f>IFERROR(_xlfn.XLOOKUP($A325,'Raw Data'!$A:$A,'Raw Data'!$AO:$AO),"")</f>
        <v/>
      </c>
      <c r="H325" s="230"/>
      <c r="I325" s="230" t="str">
        <f>IFERROR(_xlfn.XLOOKUP($A325,'Raw Data'!$A:$A,'Raw Data'!$AR:$AR),"")</f>
        <v/>
      </c>
      <c r="J325" s="230"/>
      <c r="K325" s="230" t="str">
        <f>IFERROR(_xlfn.XLOOKUP($A325,'Raw Data'!$A:$A,'Raw Data'!$AV:$AV),"")</f>
        <v/>
      </c>
      <c r="L325" s="230" t="str">
        <f>IFERROR(_xlfn.XLOOKUP($A325,'Raw Data'!$A:$A,'Raw Data'!$AW:$AW),"")</f>
        <v/>
      </c>
      <c r="M325" s="230" t="str">
        <f>IFERROR(_xlfn.XLOOKUP($A325,'Raw Data'!$A:$A,'Raw Data'!$AX:$AX),"")</f>
        <v/>
      </c>
      <c r="N325" s="230" t="str">
        <f>IFERROR(_xlfn.XLOOKUP($A325,'Raw Data'!$A:$A,'Raw Data'!$AY:$AY),"")</f>
        <v/>
      </c>
      <c r="O325" s="231" t="str">
        <f>IFERROR(1-(SUMIF('Plant BD'!$B:$B,A325,'Plant BD'!$AE:$AE)/(AA325+SUMIF('Plant BD'!$B:$B,A325,'Plant BD'!$AE:$AE))),"")</f>
        <v/>
      </c>
      <c r="P325" s="231"/>
      <c r="Q325" s="232"/>
      <c r="R325" s="231" t="str">
        <f>IFERROR(1-(SUMIF('Grid BD'!$B:$B,$A325,'Grid BD'!$AD:$AD)/($AA325+SUMIF('Grid BD'!$B:$B,$A325,'Grid BD'!AD:AD))),"")</f>
        <v/>
      </c>
      <c r="S325" s="6"/>
      <c r="T325" s="232"/>
      <c r="U325" s="233" t="str">
        <f t="shared" si="21"/>
        <v/>
      </c>
      <c r="V325" s="233"/>
      <c r="W325" s="234" t="str">
        <f t="shared" si="23"/>
        <v/>
      </c>
      <c r="X325" s="227" t="str">
        <f>IFERROR(_xlfn.XLOOKUP($A325,'Raw Data'!$A:$A,'Raw Data'!$BA:$BA),"")</f>
        <v/>
      </c>
      <c r="Y325" s="227" t="str">
        <f>IFERROR(_xlfn.XLOOKUP($A325,'Raw Data'!$A:$A,'Raw Data'!BJ:BJ),"")</f>
        <v/>
      </c>
      <c r="Z325" s="227" t="str">
        <f>IFERROR(_xlfn.XLOOKUP($A325,'Raw Data'!$A:$A,'Raw Data'!BK:BK),"")</f>
        <v/>
      </c>
      <c r="AA325" s="227" t="str">
        <f>IFERROR(_xlfn.XLOOKUP($A325,'Raw Data'!$A:$A,'Raw Data'!BL:BL),"")</f>
        <v/>
      </c>
      <c r="AB325" s="227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27">
        <f>IFERROR(_xlfn.XLOOKUP($D325,'Modelling New'!$D:$D,'Modelling New'!$T:$T)*1000,"")</f>
        <v>114630.12204031929</v>
      </c>
      <c r="AE325" s="234">
        <f>IFERROR(_xlfn.XLOOKUP($D325,'Modelling New'!$D:$D,'Modelling New'!$O:$O),"")</f>
        <v>0.68428623396557675</v>
      </c>
      <c r="AF325" s="234">
        <f>IFERROR(_xlfn.XLOOKUP($D325,'Modelling New'!$D:$D,'Modelling New'!$W:$W),"")</f>
        <v>0.19652863564785167</v>
      </c>
      <c r="AG325" s="234">
        <f>IFERROR(_xlfn.XLOOKUP($D325,'Modelling New'!$D:$D,'Modelling New'!AE:AE),"")</f>
        <v>0.995</v>
      </c>
      <c r="AH325" s="234">
        <v>0.99750000000000005</v>
      </c>
      <c r="AI325" s="6"/>
      <c r="AJ325" s="6"/>
      <c r="AK325" s="6"/>
      <c r="AL325" s="6"/>
      <c r="AM325" s="6"/>
      <c r="AN325" s="231"/>
      <c r="AO325" s="234"/>
      <c r="AP325" s="234"/>
      <c r="AQ325" s="234"/>
      <c r="AR325" s="227">
        <f>IFERROR(_xlfn.XLOOKUP($D325,'Modelling New'!$D:$D,'Modelling New'!$N:$N),"")</f>
        <v>24.303100000000001</v>
      </c>
      <c r="AS325" s="227"/>
    </row>
    <row r="326" spans="1:45" x14ac:dyDescent="0.35">
      <c r="A326" s="226">
        <f t="shared" si="22"/>
        <v>46069</v>
      </c>
      <c r="B326" s="227">
        <f>YEAR(Daily_KPI[[#This Row],[Date]])+IF(MONTH(Daily_KPI[[#This Row],[Date]])&gt;=4,1,0)</f>
        <v>2026</v>
      </c>
      <c r="C326" s="6">
        <f>YEAR(Daily_KPI[[#This Row],[Date]])</f>
        <v>2026</v>
      </c>
      <c r="D326" s="228">
        <f>Daily_KPI[[#This Row],[Date]]-DAY(Daily_KPI[[#This Row],[Date]])+1</f>
        <v>46054</v>
      </c>
      <c r="E326" s="6">
        <f t="shared" si="24"/>
        <v>28</v>
      </c>
      <c r="F326" s="229" t="str">
        <f>IFERROR(_xlfn.XLOOKUP($A326,'Raw Data'!$A:$A,'Raw Data'!$BR:$BR),"")</f>
        <v/>
      </c>
      <c r="G326" s="230" t="str">
        <f>IFERROR(_xlfn.XLOOKUP($A326,'Raw Data'!$A:$A,'Raw Data'!$AO:$AO),"")</f>
        <v/>
      </c>
      <c r="H326" s="230"/>
      <c r="I326" s="230" t="str">
        <f>IFERROR(_xlfn.XLOOKUP($A326,'Raw Data'!$A:$A,'Raw Data'!$AR:$AR),"")</f>
        <v/>
      </c>
      <c r="J326" s="230"/>
      <c r="K326" s="230" t="str">
        <f>IFERROR(_xlfn.XLOOKUP($A326,'Raw Data'!$A:$A,'Raw Data'!$AV:$AV),"")</f>
        <v/>
      </c>
      <c r="L326" s="230" t="str">
        <f>IFERROR(_xlfn.XLOOKUP($A326,'Raw Data'!$A:$A,'Raw Data'!$AW:$AW),"")</f>
        <v/>
      </c>
      <c r="M326" s="230" t="str">
        <f>IFERROR(_xlfn.XLOOKUP($A326,'Raw Data'!$A:$A,'Raw Data'!$AX:$AX),"")</f>
        <v/>
      </c>
      <c r="N326" s="230" t="str">
        <f>IFERROR(_xlfn.XLOOKUP($A326,'Raw Data'!$A:$A,'Raw Data'!$AY:$AY),"")</f>
        <v/>
      </c>
      <c r="O326" s="231" t="str">
        <f>IFERROR(1-(SUMIF('Plant BD'!$B:$B,A326,'Plant BD'!$AE:$AE)/(AA326+SUMIF('Plant BD'!$B:$B,A326,'Plant BD'!$AE:$AE))),"")</f>
        <v/>
      </c>
      <c r="P326" s="231"/>
      <c r="Q326" s="232"/>
      <c r="R326" s="231" t="str">
        <f>IFERROR(1-(SUMIF('Grid BD'!$B:$B,$A326,'Grid BD'!$AD:$AD)/($AA326+SUMIF('Grid BD'!$B:$B,$A326,'Grid BD'!AD:AD))),"")</f>
        <v/>
      </c>
      <c r="S326" s="6"/>
      <c r="T326" s="232"/>
      <c r="U326" s="233" t="str">
        <f t="shared" si="21"/>
        <v/>
      </c>
      <c r="V326" s="233"/>
      <c r="W326" s="234" t="str">
        <f t="shared" si="23"/>
        <v/>
      </c>
      <c r="X326" s="227" t="str">
        <f>IFERROR(_xlfn.XLOOKUP($A326,'Raw Data'!$A:$A,'Raw Data'!$BA:$BA),"")</f>
        <v/>
      </c>
      <c r="Y326" s="227" t="str">
        <f>IFERROR(_xlfn.XLOOKUP($A326,'Raw Data'!$A:$A,'Raw Data'!BJ:BJ),"")</f>
        <v/>
      </c>
      <c r="Z326" s="227" t="str">
        <f>IFERROR(_xlfn.XLOOKUP($A326,'Raw Data'!$A:$A,'Raw Data'!BK:BK),"")</f>
        <v/>
      </c>
      <c r="AA326" s="227" t="str">
        <f>IFERROR(_xlfn.XLOOKUP($A326,'Raw Data'!$A:$A,'Raw Data'!BL:BL),"")</f>
        <v/>
      </c>
      <c r="AB326" s="227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27">
        <f>IFERROR(_xlfn.XLOOKUP($D326,'Modelling New'!$D:$D,'Modelling New'!$T:$T)*1000,"")</f>
        <v>114630.12204031929</v>
      </c>
      <c r="AE326" s="234">
        <f>IFERROR(_xlfn.XLOOKUP($D326,'Modelling New'!$D:$D,'Modelling New'!$O:$O),"")</f>
        <v>0.68428623396557675</v>
      </c>
      <c r="AF326" s="234">
        <f>IFERROR(_xlfn.XLOOKUP($D326,'Modelling New'!$D:$D,'Modelling New'!$W:$W),"")</f>
        <v>0.19652863564785167</v>
      </c>
      <c r="AG326" s="234">
        <f>IFERROR(_xlfn.XLOOKUP($D326,'Modelling New'!$D:$D,'Modelling New'!AE:AE),"")</f>
        <v>0.995</v>
      </c>
      <c r="AH326" s="234">
        <v>0.99750000000000005</v>
      </c>
      <c r="AI326" s="6"/>
      <c r="AJ326" s="6"/>
      <c r="AK326" s="6"/>
      <c r="AL326" s="6"/>
      <c r="AM326" s="6"/>
      <c r="AN326" s="231"/>
      <c r="AO326" s="234"/>
      <c r="AP326" s="234"/>
      <c r="AQ326" s="234"/>
      <c r="AR326" s="227">
        <f>IFERROR(_xlfn.XLOOKUP($D326,'Modelling New'!$D:$D,'Modelling New'!$N:$N),"")</f>
        <v>24.303100000000001</v>
      </c>
      <c r="AS326" s="227"/>
    </row>
    <row r="327" spans="1:45" x14ac:dyDescent="0.35">
      <c r="A327" s="226">
        <f t="shared" si="22"/>
        <v>46070</v>
      </c>
      <c r="B327" s="227">
        <f>YEAR(Daily_KPI[[#This Row],[Date]])+IF(MONTH(Daily_KPI[[#This Row],[Date]])&gt;=4,1,0)</f>
        <v>2026</v>
      </c>
      <c r="C327" s="6">
        <f>YEAR(Daily_KPI[[#This Row],[Date]])</f>
        <v>2026</v>
      </c>
      <c r="D327" s="228">
        <f>Daily_KPI[[#This Row],[Date]]-DAY(Daily_KPI[[#This Row],[Date]])+1</f>
        <v>46054</v>
      </c>
      <c r="E327" s="6">
        <f t="shared" si="24"/>
        <v>28</v>
      </c>
      <c r="F327" s="229" t="str">
        <f>IFERROR(_xlfn.XLOOKUP($A327,'Raw Data'!$A:$A,'Raw Data'!$BR:$BR),"")</f>
        <v/>
      </c>
      <c r="G327" s="230" t="str">
        <f>IFERROR(_xlfn.XLOOKUP($A327,'Raw Data'!$A:$A,'Raw Data'!$AO:$AO),"")</f>
        <v/>
      </c>
      <c r="H327" s="230"/>
      <c r="I327" s="230" t="str">
        <f>IFERROR(_xlfn.XLOOKUP($A327,'Raw Data'!$A:$A,'Raw Data'!$AR:$AR),"")</f>
        <v/>
      </c>
      <c r="J327" s="230"/>
      <c r="K327" s="230" t="str">
        <f>IFERROR(_xlfn.XLOOKUP($A327,'Raw Data'!$A:$A,'Raw Data'!$AV:$AV),"")</f>
        <v/>
      </c>
      <c r="L327" s="230" t="str">
        <f>IFERROR(_xlfn.XLOOKUP($A327,'Raw Data'!$A:$A,'Raw Data'!$AW:$AW),"")</f>
        <v/>
      </c>
      <c r="M327" s="230" t="str">
        <f>IFERROR(_xlfn.XLOOKUP($A327,'Raw Data'!$A:$A,'Raw Data'!$AX:$AX),"")</f>
        <v/>
      </c>
      <c r="N327" s="230" t="str">
        <f>IFERROR(_xlfn.XLOOKUP($A327,'Raw Data'!$A:$A,'Raw Data'!$AY:$AY),"")</f>
        <v/>
      </c>
      <c r="O327" s="231" t="str">
        <f>IFERROR(1-(SUMIF('Plant BD'!$B:$B,A327,'Plant BD'!$AE:$AE)/(AA327+SUMIF('Plant BD'!$B:$B,A327,'Plant BD'!$AE:$AE))),"")</f>
        <v/>
      </c>
      <c r="P327" s="231"/>
      <c r="Q327" s="232"/>
      <c r="R327" s="231" t="str">
        <f>IFERROR(1-(SUMIF('Grid BD'!$B:$B,$A327,'Grid BD'!$AD:$AD)/($AA327+SUMIF('Grid BD'!$B:$B,$A327,'Grid BD'!AD:AD))),"")</f>
        <v/>
      </c>
      <c r="S327" s="6"/>
      <c r="T327" s="232"/>
      <c r="U327" s="233" t="str">
        <f t="shared" si="21"/>
        <v/>
      </c>
      <c r="V327" s="233"/>
      <c r="W327" s="234" t="str">
        <f t="shared" si="23"/>
        <v/>
      </c>
      <c r="X327" s="227" t="str">
        <f>IFERROR(_xlfn.XLOOKUP($A327,'Raw Data'!$A:$A,'Raw Data'!$BA:$BA),"")</f>
        <v/>
      </c>
      <c r="Y327" s="227" t="str">
        <f>IFERROR(_xlfn.XLOOKUP($A327,'Raw Data'!$A:$A,'Raw Data'!BJ:BJ),"")</f>
        <v/>
      </c>
      <c r="Z327" s="227" t="str">
        <f>IFERROR(_xlfn.XLOOKUP($A327,'Raw Data'!$A:$A,'Raw Data'!BK:BK),"")</f>
        <v/>
      </c>
      <c r="AA327" s="227" t="str">
        <f>IFERROR(_xlfn.XLOOKUP($A327,'Raw Data'!$A:$A,'Raw Data'!BL:BL),"")</f>
        <v/>
      </c>
      <c r="AB327" s="227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27">
        <f>IFERROR(_xlfn.XLOOKUP($D327,'Modelling New'!$D:$D,'Modelling New'!$T:$T)*1000,"")</f>
        <v>114630.12204031929</v>
      </c>
      <c r="AE327" s="234">
        <f>IFERROR(_xlfn.XLOOKUP($D327,'Modelling New'!$D:$D,'Modelling New'!$O:$O),"")</f>
        <v>0.68428623396557675</v>
      </c>
      <c r="AF327" s="234">
        <f>IFERROR(_xlfn.XLOOKUP($D327,'Modelling New'!$D:$D,'Modelling New'!$W:$W),"")</f>
        <v>0.19652863564785167</v>
      </c>
      <c r="AG327" s="234">
        <f>IFERROR(_xlfn.XLOOKUP($D327,'Modelling New'!$D:$D,'Modelling New'!AE:AE),"")</f>
        <v>0.995</v>
      </c>
      <c r="AH327" s="234">
        <v>0.99750000000000005</v>
      </c>
      <c r="AI327" s="6"/>
      <c r="AJ327" s="6"/>
      <c r="AK327" s="6"/>
      <c r="AL327" s="6"/>
      <c r="AM327" s="6"/>
      <c r="AN327" s="231"/>
      <c r="AO327" s="234"/>
      <c r="AP327" s="234"/>
      <c r="AQ327" s="234"/>
      <c r="AR327" s="227">
        <f>IFERROR(_xlfn.XLOOKUP($D327,'Modelling New'!$D:$D,'Modelling New'!$N:$N),"")</f>
        <v>24.303100000000001</v>
      </c>
      <c r="AS327" s="227"/>
    </row>
    <row r="328" spans="1:45" x14ac:dyDescent="0.35">
      <c r="A328" s="226">
        <f t="shared" si="22"/>
        <v>46071</v>
      </c>
      <c r="B328" s="227">
        <f>YEAR(Daily_KPI[[#This Row],[Date]])+IF(MONTH(Daily_KPI[[#This Row],[Date]])&gt;=4,1,0)</f>
        <v>2026</v>
      </c>
      <c r="C328" s="6">
        <f>YEAR(Daily_KPI[[#This Row],[Date]])</f>
        <v>2026</v>
      </c>
      <c r="D328" s="228">
        <f>Daily_KPI[[#This Row],[Date]]-DAY(Daily_KPI[[#This Row],[Date]])+1</f>
        <v>46054</v>
      </c>
      <c r="E328" s="6">
        <f t="shared" si="24"/>
        <v>28</v>
      </c>
      <c r="F328" s="229" t="str">
        <f>IFERROR(_xlfn.XLOOKUP($A328,'Raw Data'!$A:$A,'Raw Data'!$BR:$BR),"")</f>
        <v/>
      </c>
      <c r="G328" s="230" t="str">
        <f>IFERROR(_xlfn.XLOOKUP($A328,'Raw Data'!$A:$A,'Raw Data'!$AO:$AO),"")</f>
        <v/>
      </c>
      <c r="H328" s="230"/>
      <c r="I328" s="230" t="str">
        <f>IFERROR(_xlfn.XLOOKUP($A328,'Raw Data'!$A:$A,'Raw Data'!$AR:$AR),"")</f>
        <v/>
      </c>
      <c r="J328" s="230"/>
      <c r="K328" s="230" t="str">
        <f>IFERROR(_xlfn.XLOOKUP($A328,'Raw Data'!$A:$A,'Raw Data'!$AV:$AV),"")</f>
        <v/>
      </c>
      <c r="L328" s="230" t="str">
        <f>IFERROR(_xlfn.XLOOKUP($A328,'Raw Data'!$A:$A,'Raw Data'!$AW:$AW),"")</f>
        <v/>
      </c>
      <c r="M328" s="230" t="str">
        <f>IFERROR(_xlfn.XLOOKUP($A328,'Raw Data'!$A:$A,'Raw Data'!$AX:$AX),"")</f>
        <v/>
      </c>
      <c r="N328" s="230" t="str">
        <f>IFERROR(_xlfn.XLOOKUP($A328,'Raw Data'!$A:$A,'Raw Data'!$AY:$AY),"")</f>
        <v/>
      </c>
      <c r="O328" s="231" t="str">
        <f>IFERROR(1-(SUMIF('Plant BD'!$B:$B,A328,'Plant BD'!$AE:$AE)/(AA328+SUMIF('Plant BD'!$B:$B,A328,'Plant BD'!$AE:$AE))),"")</f>
        <v/>
      </c>
      <c r="P328" s="231"/>
      <c r="Q328" s="232"/>
      <c r="R328" s="231" t="str">
        <f>IFERROR(1-(SUMIF('Grid BD'!$B:$B,$A328,'Grid BD'!$AD:$AD)/($AA328+SUMIF('Grid BD'!$B:$B,$A328,'Grid BD'!AD:AD))),"")</f>
        <v/>
      </c>
      <c r="S328" s="6"/>
      <c r="T328" s="232"/>
      <c r="U328" s="233" t="str">
        <f t="shared" si="21"/>
        <v/>
      </c>
      <c r="V328" s="233"/>
      <c r="W328" s="234" t="str">
        <f t="shared" si="23"/>
        <v/>
      </c>
      <c r="X328" s="227" t="str">
        <f>IFERROR(_xlfn.XLOOKUP($A328,'Raw Data'!$A:$A,'Raw Data'!$BA:$BA),"")</f>
        <v/>
      </c>
      <c r="Y328" s="227" t="str">
        <f>IFERROR(_xlfn.XLOOKUP($A328,'Raw Data'!$A:$A,'Raw Data'!BJ:BJ),"")</f>
        <v/>
      </c>
      <c r="Z328" s="227" t="str">
        <f>IFERROR(_xlfn.XLOOKUP($A328,'Raw Data'!$A:$A,'Raw Data'!BK:BK),"")</f>
        <v/>
      </c>
      <c r="AA328" s="227" t="str">
        <f>IFERROR(_xlfn.XLOOKUP($A328,'Raw Data'!$A:$A,'Raw Data'!BL:BL),"")</f>
        <v/>
      </c>
      <c r="AB328" s="227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27">
        <f>IFERROR(_xlfn.XLOOKUP($D328,'Modelling New'!$D:$D,'Modelling New'!$T:$T)*1000,"")</f>
        <v>114630.12204031929</v>
      </c>
      <c r="AE328" s="234">
        <f>IFERROR(_xlfn.XLOOKUP($D328,'Modelling New'!$D:$D,'Modelling New'!$O:$O),"")</f>
        <v>0.68428623396557675</v>
      </c>
      <c r="AF328" s="234">
        <f>IFERROR(_xlfn.XLOOKUP($D328,'Modelling New'!$D:$D,'Modelling New'!$W:$W),"")</f>
        <v>0.19652863564785167</v>
      </c>
      <c r="AG328" s="234">
        <f>IFERROR(_xlfn.XLOOKUP($D328,'Modelling New'!$D:$D,'Modelling New'!AE:AE),"")</f>
        <v>0.995</v>
      </c>
      <c r="AH328" s="234">
        <v>0.99750000000000005</v>
      </c>
      <c r="AI328" s="6"/>
      <c r="AJ328" s="6"/>
      <c r="AK328" s="6"/>
      <c r="AL328" s="6"/>
      <c r="AM328" s="6"/>
      <c r="AN328" s="231"/>
      <c r="AO328" s="234"/>
      <c r="AP328" s="234"/>
      <c r="AQ328" s="234"/>
      <c r="AR328" s="227">
        <f>IFERROR(_xlfn.XLOOKUP($D328,'Modelling New'!$D:$D,'Modelling New'!$N:$N),"")</f>
        <v>24.303100000000001</v>
      </c>
      <c r="AS328" s="227"/>
    </row>
    <row r="329" spans="1:45" x14ac:dyDescent="0.35">
      <c r="A329" s="226">
        <f t="shared" si="22"/>
        <v>46072</v>
      </c>
      <c r="B329" s="227">
        <f>YEAR(Daily_KPI[[#This Row],[Date]])+IF(MONTH(Daily_KPI[[#This Row],[Date]])&gt;=4,1,0)</f>
        <v>2026</v>
      </c>
      <c r="C329" s="6">
        <f>YEAR(Daily_KPI[[#This Row],[Date]])</f>
        <v>2026</v>
      </c>
      <c r="D329" s="228">
        <f>Daily_KPI[[#This Row],[Date]]-DAY(Daily_KPI[[#This Row],[Date]])+1</f>
        <v>46054</v>
      </c>
      <c r="E329" s="6">
        <f t="shared" si="24"/>
        <v>28</v>
      </c>
      <c r="F329" s="229" t="str">
        <f>IFERROR(_xlfn.XLOOKUP($A329,'Raw Data'!$A:$A,'Raw Data'!$BR:$BR),"")</f>
        <v/>
      </c>
      <c r="G329" s="230" t="str">
        <f>IFERROR(_xlfn.XLOOKUP($A329,'Raw Data'!$A:$A,'Raw Data'!$AO:$AO),"")</f>
        <v/>
      </c>
      <c r="H329" s="230"/>
      <c r="I329" s="230" t="str">
        <f>IFERROR(_xlfn.XLOOKUP($A329,'Raw Data'!$A:$A,'Raw Data'!$AR:$AR),"")</f>
        <v/>
      </c>
      <c r="J329" s="230"/>
      <c r="K329" s="230" t="str">
        <f>IFERROR(_xlfn.XLOOKUP($A329,'Raw Data'!$A:$A,'Raw Data'!$AV:$AV),"")</f>
        <v/>
      </c>
      <c r="L329" s="230" t="str">
        <f>IFERROR(_xlfn.XLOOKUP($A329,'Raw Data'!$A:$A,'Raw Data'!$AW:$AW),"")</f>
        <v/>
      </c>
      <c r="M329" s="230" t="str">
        <f>IFERROR(_xlfn.XLOOKUP($A329,'Raw Data'!$A:$A,'Raw Data'!$AX:$AX),"")</f>
        <v/>
      </c>
      <c r="N329" s="230" t="str">
        <f>IFERROR(_xlfn.XLOOKUP($A329,'Raw Data'!$A:$A,'Raw Data'!$AY:$AY),"")</f>
        <v/>
      </c>
      <c r="O329" s="231" t="str">
        <f>IFERROR(1-(SUMIF('Plant BD'!$B:$B,A329,'Plant BD'!$AE:$AE)/(AA329+SUMIF('Plant BD'!$B:$B,A329,'Plant BD'!$AE:$AE))),"")</f>
        <v/>
      </c>
      <c r="P329" s="231"/>
      <c r="Q329" s="232"/>
      <c r="R329" s="231" t="str">
        <f>IFERROR(1-(SUMIF('Grid BD'!$B:$B,$A329,'Grid BD'!$AD:$AD)/($AA329+SUMIF('Grid BD'!$B:$B,$A329,'Grid BD'!AD:AD))),"")</f>
        <v/>
      </c>
      <c r="S329" s="6"/>
      <c r="T329" s="232"/>
      <c r="U329" s="233" t="str">
        <f t="shared" si="21"/>
        <v/>
      </c>
      <c r="V329" s="233"/>
      <c r="W329" s="234" t="str">
        <f t="shared" si="23"/>
        <v/>
      </c>
      <c r="X329" s="227" t="str">
        <f>IFERROR(_xlfn.XLOOKUP($A329,'Raw Data'!$A:$A,'Raw Data'!$BA:$BA),"")</f>
        <v/>
      </c>
      <c r="Y329" s="227" t="str">
        <f>IFERROR(_xlfn.XLOOKUP($A329,'Raw Data'!$A:$A,'Raw Data'!BJ:BJ),"")</f>
        <v/>
      </c>
      <c r="Z329" s="227" t="str">
        <f>IFERROR(_xlfn.XLOOKUP($A329,'Raw Data'!$A:$A,'Raw Data'!BK:BK),"")</f>
        <v/>
      </c>
      <c r="AA329" s="227" t="str">
        <f>IFERROR(_xlfn.XLOOKUP($A329,'Raw Data'!$A:$A,'Raw Data'!BL:BL),"")</f>
        <v/>
      </c>
      <c r="AB329" s="227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27">
        <f>IFERROR(_xlfn.XLOOKUP($D329,'Modelling New'!$D:$D,'Modelling New'!$T:$T)*1000,"")</f>
        <v>114630.12204031929</v>
      </c>
      <c r="AE329" s="234">
        <f>IFERROR(_xlfn.XLOOKUP($D329,'Modelling New'!$D:$D,'Modelling New'!$O:$O),"")</f>
        <v>0.68428623396557675</v>
      </c>
      <c r="AF329" s="234">
        <f>IFERROR(_xlfn.XLOOKUP($D329,'Modelling New'!$D:$D,'Modelling New'!$W:$W),"")</f>
        <v>0.19652863564785167</v>
      </c>
      <c r="AG329" s="234">
        <f>IFERROR(_xlfn.XLOOKUP($D329,'Modelling New'!$D:$D,'Modelling New'!AE:AE),"")</f>
        <v>0.995</v>
      </c>
      <c r="AH329" s="234">
        <v>0.99750000000000005</v>
      </c>
      <c r="AI329" s="6"/>
      <c r="AJ329" s="6"/>
      <c r="AK329" s="6"/>
      <c r="AL329" s="6"/>
      <c r="AM329" s="6"/>
      <c r="AN329" s="231"/>
      <c r="AO329" s="234"/>
      <c r="AP329" s="234"/>
      <c r="AQ329" s="234"/>
      <c r="AR329" s="227">
        <f>IFERROR(_xlfn.XLOOKUP($D329,'Modelling New'!$D:$D,'Modelling New'!$N:$N),"")</f>
        <v>24.303100000000001</v>
      </c>
      <c r="AS329" s="227"/>
    </row>
    <row r="330" spans="1:45" x14ac:dyDescent="0.35">
      <c r="A330" s="226">
        <f t="shared" si="22"/>
        <v>46073</v>
      </c>
      <c r="B330" s="227">
        <f>YEAR(Daily_KPI[[#This Row],[Date]])+IF(MONTH(Daily_KPI[[#This Row],[Date]])&gt;=4,1,0)</f>
        <v>2026</v>
      </c>
      <c r="C330" s="6">
        <f>YEAR(Daily_KPI[[#This Row],[Date]])</f>
        <v>2026</v>
      </c>
      <c r="D330" s="228">
        <f>Daily_KPI[[#This Row],[Date]]-DAY(Daily_KPI[[#This Row],[Date]])+1</f>
        <v>46054</v>
      </c>
      <c r="E330" s="6">
        <f t="shared" si="24"/>
        <v>28</v>
      </c>
      <c r="F330" s="229" t="str">
        <f>IFERROR(_xlfn.XLOOKUP($A330,'Raw Data'!$A:$A,'Raw Data'!$BR:$BR),"")</f>
        <v/>
      </c>
      <c r="G330" s="230" t="str">
        <f>IFERROR(_xlfn.XLOOKUP($A330,'Raw Data'!$A:$A,'Raw Data'!$AO:$AO),"")</f>
        <v/>
      </c>
      <c r="H330" s="230"/>
      <c r="I330" s="230" t="str">
        <f>IFERROR(_xlfn.XLOOKUP($A330,'Raw Data'!$A:$A,'Raw Data'!$AR:$AR),"")</f>
        <v/>
      </c>
      <c r="J330" s="230"/>
      <c r="K330" s="230" t="str">
        <f>IFERROR(_xlfn.XLOOKUP($A330,'Raw Data'!$A:$A,'Raw Data'!$AV:$AV),"")</f>
        <v/>
      </c>
      <c r="L330" s="230" t="str">
        <f>IFERROR(_xlfn.XLOOKUP($A330,'Raw Data'!$A:$A,'Raw Data'!$AW:$AW),"")</f>
        <v/>
      </c>
      <c r="M330" s="230" t="str">
        <f>IFERROR(_xlfn.XLOOKUP($A330,'Raw Data'!$A:$A,'Raw Data'!$AX:$AX),"")</f>
        <v/>
      </c>
      <c r="N330" s="230" t="str">
        <f>IFERROR(_xlfn.XLOOKUP($A330,'Raw Data'!$A:$A,'Raw Data'!$AY:$AY),"")</f>
        <v/>
      </c>
      <c r="O330" s="231" t="str">
        <f>IFERROR(1-(SUMIF('Plant BD'!$B:$B,A330,'Plant BD'!$AE:$AE)/(AA330+SUMIF('Plant BD'!$B:$B,A330,'Plant BD'!$AE:$AE))),"")</f>
        <v/>
      </c>
      <c r="P330" s="231"/>
      <c r="Q330" s="232"/>
      <c r="R330" s="231" t="str">
        <f>IFERROR(1-(SUMIF('Grid BD'!$B:$B,$A330,'Grid BD'!$AD:$AD)/($AA330+SUMIF('Grid BD'!$B:$B,$A330,'Grid BD'!AD:AD))),"")</f>
        <v/>
      </c>
      <c r="S330" s="6"/>
      <c r="T330" s="232"/>
      <c r="U330" s="233" t="str">
        <f t="shared" si="21"/>
        <v/>
      </c>
      <c r="V330" s="233"/>
      <c r="W330" s="234" t="str">
        <f t="shared" si="23"/>
        <v/>
      </c>
      <c r="X330" s="227" t="str">
        <f>IFERROR(_xlfn.XLOOKUP($A330,'Raw Data'!$A:$A,'Raw Data'!$BA:$BA),"")</f>
        <v/>
      </c>
      <c r="Y330" s="227" t="str">
        <f>IFERROR(_xlfn.XLOOKUP($A330,'Raw Data'!$A:$A,'Raw Data'!BJ:BJ),"")</f>
        <v/>
      </c>
      <c r="Z330" s="227" t="str">
        <f>IFERROR(_xlfn.XLOOKUP($A330,'Raw Data'!$A:$A,'Raw Data'!BK:BK),"")</f>
        <v/>
      </c>
      <c r="AA330" s="227" t="str">
        <f>IFERROR(_xlfn.XLOOKUP($A330,'Raw Data'!$A:$A,'Raw Data'!BL:BL),"")</f>
        <v/>
      </c>
      <c r="AB330" s="227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27">
        <f>IFERROR(_xlfn.XLOOKUP($D330,'Modelling New'!$D:$D,'Modelling New'!$T:$T)*1000,"")</f>
        <v>114630.12204031929</v>
      </c>
      <c r="AE330" s="234">
        <f>IFERROR(_xlfn.XLOOKUP($D330,'Modelling New'!$D:$D,'Modelling New'!$O:$O),"")</f>
        <v>0.68428623396557675</v>
      </c>
      <c r="AF330" s="234">
        <f>IFERROR(_xlfn.XLOOKUP($D330,'Modelling New'!$D:$D,'Modelling New'!$W:$W),"")</f>
        <v>0.19652863564785167</v>
      </c>
      <c r="AG330" s="234">
        <f>IFERROR(_xlfn.XLOOKUP($D330,'Modelling New'!$D:$D,'Modelling New'!AE:AE),"")</f>
        <v>0.995</v>
      </c>
      <c r="AH330" s="234">
        <v>0.99750000000000005</v>
      </c>
      <c r="AI330" s="6"/>
      <c r="AJ330" s="6"/>
      <c r="AK330" s="6"/>
      <c r="AL330" s="6"/>
      <c r="AM330" s="6"/>
      <c r="AN330" s="231"/>
      <c r="AO330" s="234"/>
      <c r="AP330" s="234"/>
      <c r="AQ330" s="234"/>
      <c r="AR330" s="227">
        <f>IFERROR(_xlfn.XLOOKUP($D330,'Modelling New'!$D:$D,'Modelling New'!$N:$N),"")</f>
        <v>24.303100000000001</v>
      </c>
      <c r="AS330" s="227"/>
    </row>
    <row r="331" spans="1:45" x14ac:dyDescent="0.35">
      <c r="A331" s="226">
        <f t="shared" si="22"/>
        <v>46074</v>
      </c>
      <c r="B331" s="227">
        <f>YEAR(Daily_KPI[[#This Row],[Date]])+IF(MONTH(Daily_KPI[[#This Row],[Date]])&gt;=4,1,0)</f>
        <v>2026</v>
      </c>
      <c r="C331" s="6">
        <f>YEAR(Daily_KPI[[#This Row],[Date]])</f>
        <v>2026</v>
      </c>
      <c r="D331" s="228">
        <f>Daily_KPI[[#This Row],[Date]]-DAY(Daily_KPI[[#This Row],[Date]])+1</f>
        <v>46054</v>
      </c>
      <c r="E331" s="6">
        <f t="shared" si="24"/>
        <v>28</v>
      </c>
      <c r="F331" s="229" t="str">
        <f>IFERROR(_xlfn.XLOOKUP($A331,'Raw Data'!$A:$A,'Raw Data'!$BR:$BR),"")</f>
        <v/>
      </c>
      <c r="G331" s="230" t="str">
        <f>IFERROR(_xlfn.XLOOKUP($A331,'Raw Data'!$A:$A,'Raw Data'!$AO:$AO),"")</f>
        <v/>
      </c>
      <c r="H331" s="230"/>
      <c r="I331" s="230" t="str">
        <f>IFERROR(_xlfn.XLOOKUP($A331,'Raw Data'!$A:$A,'Raw Data'!$AR:$AR),"")</f>
        <v/>
      </c>
      <c r="J331" s="230"/>
      <c r="K331" s="230" t="str">
        <f>IFERROR(_xlfn.XLOOKUP($A331,'Raw Data'!$A:$A,'Raw Data'!$AV:$AV),"")</f>
        <v/>
      </c>
      <c r="L331" s="230" t="str">
        <f>IFERROR(_xlfn.XLOOKUP($A331,'Raw Data'!$A:$A,'Raw Data'!$AW:$AW),"")</f>
        <v/>
      </c>
      <c r="M331" s="230" t="str">
        <f>IFERROR(_xlfn.XLOOKUP($A331,'Raw Data'!$A:$A,'Raw Data'!$AX:$AX),"")</f>
        <v/>
      </c>
      <c r="N331" s="230" t="str">
        <f>IFERROR(_xlfn.XLOOKUP($A331,'Raw Data'!$A:$A,'Raw Data'!$AY:$AY),"")</f>
        <v/>
      </c>
      <c r="O331" s="231" t="str">
        <f>IFERROR(1-(SUMIF('Plant BD'!$B:$B,A331,'Plant BD'!$AE:$AE)/(AA331+SUMIF('Plant BD'!$B:$B,A331,'Plant BD'!$AE:$AE))),"")</f>
        <v/>
      </c>
      <c r="P331" s="231"/>
      <c r="Q331" s="232"/>
      <c r="R331" s="231" t="str">
        <f>IFERROR(1-(SUMIF('Grid BD'!$B:$B,$A331,'Grid BD'!$AD:$AD)/($AA331+SUMIF('Grid BD'!$B:$B,$A331,'Grid BD'!AD:AD))),"")</f>
        <v/>
      </c>
      <c r="S331" s="6"/>
      <c r="T331" s="232"/>
      <c r="U331" s="233" t="str">
        <f t="shared" si="21"/>
        <v/>
      </c>
      <c r="V331" s="233"/>
      <c r="W331" s="234" t="str">
        <f t="shared" si="23"/>
        <v/>
      </c>
      <c r="X331" s="227" t="str">
        <f>IFERROR(_xlfn.XLOOKUP($A331,'Raw Data'!$A:$A,'Raw Data'!$BA:$BA),"")</f>
        <v/>
      </c>
      <c r="Y331" s="227" t="str">
        <f>IFERROR(_xlfn.XLOOKUP($A331,'Raw Data'!$A:$A,'Raw Data'!BJ:BJ),"")</f>
        <v/>
      </c>
      <c r="Z331" s="227" t="str">
        <f>IFERROR(_xlfn.XLOOKUP($A331,'Raw Data'!$A:$A,'Raw Data'!BK:BK),"")</f>
        <v/>
      </c>
      <c r="AA331" s="227" t="str">
        <f>IFERROR(_xlfn.XLOOKUP($A331,'Raw Data'!$A:$A,'Raw Data'!BL:BL),"")</f>
        <v/>
      </c>
      <c r="AB331" s="227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27">
        <f>IFERROR(_xlfn.XLOOKUP($D331,'Modelling New'!$D:$D,'Modelling New'!$T:$T)*1000,"")</f>
        <v>114630.12204031929</v>
      </c>
      <c r="AE331" s="234">
        <f>IFERROR(_xlfn.XLOOKUP($D331,'Modelling New'!$D:$D,'Modelling New'!$O:$O),"")</f>
        <v>0.68428623396557675</v>
      </c>
      <c r="AF331" s="234">
        <f>IFERROR(_xlfn.XLOOKUP($D331,'Modelling New'!$D:$D,'Modelling New'!$W:$W),"")</f>
        <v>0.19652863564785167</v>
      </c>
      <c r="AG331" s="234">
        <f>IFERROR(_xlfn.XLOOKUP($D331,'Modelling New'!$D:$D,'Modelling New'!AE:AE),"")</f>
        <v>0.995</v>
      </c>
      <c r="AH331" s="234">
        <v>0.99750000000000005</v>
      </c>
      <c r="AI331" s="6"/>
      <c r="AJ331" s="6"/>
      <c r="AK331" s="6"/>
      <c r="AL331" s="6"/>
      <c r="AM331" s="6"/>
      <c r="AN331" s="231"/>
      <c r="AO331" s="234"/>
      <c r="AP331" s="234"/>
      <c r="AQ331" s="234"/>
      <c r="AR331" s="227">
        <f>IFERROR(_xlfn.XLOOKUP($D331,'Modelling New'!$D:$D,'Modelling New'!$N:$N),"")</f>
        <v>24.303100000000001</v>
      </c>
      <c r="AS331" s="227"/>
    </row>
    <row r="332" spans="1:45" x14ac:dyDescent="0.35">
      <c r="A332" s="226">
        <f t="shared" si="22"/>
        <v>46075</v>
      </c>
      <c r="B332" s="227">
        <f>YEAR(Daily_KPI[[#This Row],[Date]])+IF(MONTH(Daily_KPI[[#This Row],[Date]])&gt;=4,1,0)</f>
        <v>2026</v>
      </c>
      <c r="C332" s="6">
        <f>YEAR(Daily_KPI[[#This Row],[Date]])</f>
        <v>2026</v>
      </c>
      <c r="D332" s="228">
        <f>Daily_KPI[[#This Row],[Date]]-DAY(Daily_KPI[[#This Row],[Date]])+1</f>
        <v>46054</v>
      </c>
      <c r="E332" s="6">
        <f t="shared" si="24"/>
        <v>28</v>
      </c>
      <c r="F332" s="229" t="str">
        <f>IFERROR(_xlfn.XLOOKUP($A332,'Raw Data'!$A:$A,'Raw Data'!$BR:$BR),"")</f>
        <v/>
      </c>
      <c r="G332" s="230" t="str">
        <f>IFERROR(_xlfn.XLOOKUP($A332,'Raw Data'!$A:$A,'Raw Data'!$AO:$AO),"")</f>
        <v/>
      </c>
      <c r="H332" s="230"/>
      <c r="I332" s="230" t="str">
        <f>IFERROR(_xlfn.XLOOKUP($A332,'Raw Data'!$A:$A,'Raw Data'!$AR:$AR),"")</f>
        <v/>
      </c>
      <c r="J332" s="230"/>
      <c r="K332" s="230" t="str">
        <f>IFERROR(_xlfn.XLOOKUP($A332,'Raw Data'!$A:$A,'Raw Data'!$AV:$AV),"")</f>
        <v/>
      </c>
      <c r="L332" s="230" t="str">
        <f>IFERROR(_xlfn.XLOOKUP($A332,'Raw Data'!$A:$A,'Raw Data'!$AW:$AW),"")</f>
        <v/>
      </c>
      <c r="M332" s="230" t="str">
        <f>IFERROR(_xlfn.XLOOKUP($A332,'Raw Data'!$A:$A,'Raw Data'!$AX:$AX),"")</f>
        <v/>
      </c>
      <c r="N332" s="230" t="str">
        <f>IFERROR(_xlfn.XLOOKUP($A332,'Raw Data'!$A:$A,'Raw Data'!$AY:$AY),"")</f>
        <v/>
      </c>
      <c r="O332" s="231" t="str">
        <f>IFERROR(1-(SUMIF('Plant BD'!$B:$B,A332,'Plant BD'!$AE:$AE)/(AA332+SUMIF('Plant BD'!$B:$B,A332,'Plant BD'!$AE:$AE))),"")</f>
        <v/>
      </c>
      <c r="P332" s="231"/>
      <c r="Q332" s="232"/>
      <c r="R332" s="231" t="str">
        <f>IFERROR(1-(SUMIF('Grid BD'!$B:$B,$A332,'Grid BD'!$AD:$AD)/($AA332+SUMIF('Grid BD'!$B:$B,$A332,'Grid BD'!AD:AD))),"")</f>
        <v/>
      </c>
      <c r="S332" s="6"/>
      <c r="T332" s="232"/>
      <c r="U332" s="233" t="str">
        <f t="shared" si="21"/>
        <v/>
      </c>
      <c r="V332" s="233"/>
      <c r="W332" s="234" t="str">
        <f t="shared" si="23"/>
        <v/>
      </c>
      <c r="X332" s="227" t="str">
        <f>IFERROR(_xlfn.XLOOKUP($A332,'Raw Data'!$A:$A,'Raw Data'!$BA:$BA),"")</f>
        <v/>
      </c>
      <c r="Y332" s="227" t="str">
        <f>IFERROR(_xlfn.XLOOKUP($A332,'Raw Data'!$A:$A,'Raw Data'!BJ:BJ),"")</f>
        <v/>
      </c>
      <c r="Z332" s="227" t="str">
        <f>IFERROR(_xlfn.XLOOKUP($A332,'Raw Data'!$A:$A,'Raw Data'!BK:BK),"")</f>
        <v/>
      </c>
      <c r="AA332" s="227" t="str">
        <f>IFERROR(_xlfn.XLOOKUP($A332,'Raw Data'!$A:$A,'Raw Data'!BL:BL),"")</f>
        <v/>
      </c>
      <c r="AB332" s="227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27">
        <f>IFERROR(_xlfn.XLOOKUP($D332,'Modelling New'!$D:$D,'Modelling New'!$T:$T)*1000,"")</f>
        <v>114630.12204031929</v>
      </c>
      <c r="AE332" s="234">
        <f>IFERROR(_xlfn.XLOOKUP($D332,'Modelling New'!$D:$D,'Modelling New'!$O:$O),"")</f>
        <v>0.68428623396557675</v>
      </c>
      <c r="AF332" s="234">
        <f>IFERROR(_xlfn.XLOOKUP($D332,'Modelling New'!$D:$D,'Modelling New'!$W:$W),"")</f>
        <v>0.19652863564785167</v>
      </c>
      <c r="AG332" s="234">
        <f>IFERROR(_xlfn.XLOOKUP($D332,'Modelling New'!$D:$D,'Modelling New'!AE:AE),"")</f>
        <v>0.995</v>
      </c>
      <c r="AH332" s="234">
        <v>0.99750000000000005</v>
      </c>
      <c r="AI332" s="6"/>
      <c r="AJ332" s="6"/>
      <c r="AK332" s="6"/>
      <c r="AL332" s="6"/>
      <c r="AM332" s="6"/>
      <c r="AN332" s="231"/>
      <c r="AO332" s="234"/>
      <c r="AP332" s="234"/>
      <c r="AQ332" s="234"/>
      <c r="AR332" s="227">
        <f>IFERROR(_xlfn.XLOOKUP($D332,'Modelling New'!$D:$D,'Modelling New'!$N:$N),"")</f>
        <v>24.303100000000001</v>
      </c>
      <c r="AS332" s="227"/>
    </row>
    <row r="333" spans="1:45" x14ac:dyDescent="0.35">
      <c r="A333" s="226">
        <f t="shared" si="22"/>
        <v>46076</v>
      </c>
      <c r="B333" s="227">
        <f>YEAR(Daily_KPI[[#This Row],[Date]])+IF(MONTH(Daily_KPI[[#This Row],[Date]])&gt;=4,1,0)</f>
        <v>2026</v>
      </c>
      <c r="C333" s="6">
        <f>YEAR(Daily_KPI[[#This Row],[Date]])</f>
        <v>2026</v>
      </c>
      <c r="D333" s="228">
        <f>Daily_KPI[[#This Row],[Date]]-DAY(Daily_KPI[[#This Row],[Date]])+1</f>
        <v>46054</v>
      </c>
      <c r="E333" s="6">
        <f t="shared" si="24"/>
        <v>28</v>
      </c>
      <c r="F333" s="229" t="str">
        <f>IFERROR(_xlfn.XLOOKUP($A333,'Raw Data'!$A:$A,'Raw Data'!$BR:$BR),"")</f>
        <v/>
      </c>
      <c r="G333" s="230" t="str">
        <f>IFERROR(_xlfn.XLOOKUP($A333,'Raw Data'!$A:$A,'Raw Data'!$AO:$AO),"")</f>
        <v/>
      </c>
      <c r="H333" s="230"/>
      <c r="I333" s="230" t="str">
        <f>IFERROR(_xlfn.XLOOKUP($A333,'Raw Data'!$A:$A,'Raw Data'!$AR:$AR),"")</f>
        <v/>
      </c>
      <c r="J333" s="230"/>
      <c r="K333" s="230" t="str">
        <f>IFERROR(_xlfn.XLOOKUP($A333,'Raw Data'!$A:$A,'Raw Data'!$AV:$AV),"")</f>
        <v/>
      </c>
      <c r="L333" s="230" t="str">
        <f>IFERROR(_xlfn.XLOOKUP($A333,'Raw Data'!$A:$A,'Raw Data'!$AW:$AW),"")</f>
        <v/>
      </c>
      <c r="M333" s="230" t="str">
        <f>IFERROR(_xlfn.XLOOKUP($A333,'Raw Data'!$A:$A,'Raw Data'!$AX:$AX),"")</f>
        <v/>
      </c>
      <c r="N333" s="230" t="str">
        <f>IFERROR(_xlfn.XLOOKUP($A333,'Raw Data'!$A:$A,'Raw Data'!$AY:$AY),"")</f>
        <v/>
      </c>
      <c r="O333" s="231" t="str">
        <f>IFERROR(1-(SUMIF('Plant BD'!$B:$B,A333,'Plant BD'!$AE:$AE)/(AA333+SUMIF('Plant BD'!$B:$B,A333,'Plant BD'!$AE:$AE))),"")</f>
        <v/>
      </c>
      <c r="P333" s="231"/>
      <c r="Q333" s="232"/>
      <c r="R333" s="231" t="str">
        <f>IFERROR(1-(SUMIF('Grid BD'!$B:$B,$A333,'Grid BD'!$AD:$AD)/($AA333+SUMIF('Grid BD'!$B:$B,$A333,'Grid BD'!AD:AD))),"")</f>
        <v/>
      </c>
      <c r="S333" s="6"/>
      <c r="T333" s="232"/>
      <c r="U333" s="233" t="str">
        <f t="shared" si="21"/>
        <v/>
      </c>
      <c r="V333" s="233"/>
      <c r="W333" s="234" t="str">
        <f t="shared" si="23"/>
        <v/>
      </c>
      <c r="X333" s="227" t="str">
        <f>IFERROR(_xlfn.XLOOKUP($A333,'Raw Data'!$A:$A,'Raw Data'!$BA:$BA),"")</f>
        <v/>
      </c>
      <c r="Y333" s="227" t="str">
        <f>IFERROR(_xlfn.XLOOKUP($A333,'Raw Data'!$A:$A,'Raw Data'!BJ:BJ),"")</f>
        <v/>
      </c>
      <c r="Z333" s="227" t="str">
        <f>IFERROR(_xlfn.XLOOKUP($A333,'Raw Data'!$A:$A,'Raw Data'!BK:BK),"")</f>
        <v/>
      </c>
      <c r="AA333" s="227" t="str">
        <f>IFERROR(_xlfn.XLOOKUP($A333,'Raw Data'!$A:$A,'Raw Data'!BL:BL),"")</f>
        <v/>
      </c>
      <c r="AB333" s="227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27">
        <f>IFERROR(_xlfn.XLOOKUP($D333,'Modelling New'!$D:$D,'Modelling New'!$T:$T)*1000,"")</f>
        <v>114630.12204031929</v>
      </c>
      <c r="AE333" s="234">
        <f>IFERROR(_xlfn.XLOOKUP($D333,'Modelling New'!$D:$D,'Modelling New'!$O:$O),"")</f>
        <v>0.68428623396557675</v>
      </c>
      <c r="AF333" s="234">
        <f>IFERROR(_xlfn.XLOOKUP($D333,'Modelling New'!$D:$D,'Modelling New'!$W:$W),"")</f>
        <v>0.19652863564785167</v>
      </c>
      <c r="AG333" s="234">
        <f>IFERROR(_xlfn.XLOOKUP($D333,'Modelling New'!$D:$D,'Modelling New'!AE:AE),"")</f>
        <v>0.995</v>
      </c>
      <c r="AH333" s="234">
        <v>0.99750000000000005</v>
      </c>
      <c r="AI333" s="6"/>
      <c r="AJ333" s="6"/>
      <c r="AK333" s="6"/>
      <c r="AL333" s="6"/>
      <c r="AM333" s="6"/>
      <c r="AN333" s="231"/>
      <c r="AO333" s="234"/>
      <c r="AP333" s="234"/>
      <c r="AQ333" s="234"/>
      <c r="AR333" s="227">
        <f>IFERROR(_xlfn.XLOOKUP($D333,'Modelling New'!$D:$D,'Modelling New'!$N:$N),"")</f>
        <v>24.303100000000001</v>
      </c>
      <c r="AS333" s="227"/>
    </row>
    <row r="334" spans="1:45" x14ac:dyDescent="0.35">
      <c r="A334" s="226">
        <f t="shared" si="22"/>
        <v>46077</v>
      </c>
      <c r="B334" s="227">
        <f>YEAR(Daily_KPI[[#This Row],[Date]])+IF(MONTH(Daily_KPI[[#This Row],[Date]])&gt;=4,1,0)</f>
        <v>2026</v>
      </c>
      <c r="C334" s="6">
        <f>YEAR(Daily_KPI[[#This Row],[Date]])</f>
        <v>2026</v>
      </c>
      <c r="D334" s="228">
        <f>Daily_KPI[[#This Row],[Date]]-DAY(Daily_KPI[[#This Row],[Date]])+1</f>
        <v>46054</v>
      </c>
      <c r="E334" s="6">
        <f t="shared" si="24"/>
        <v>28</v>
      </c>
      <c r="F334" s="229" t="str">
        <f>IFERROR(_xlfn.XLOOKUP($A334,'Raw Data'!$A:$A,'Raw Data'!$BR:$BR),"")</f>
        <v/>
      </c>
      <c r="G334" s="230" t="str">
        <f>IFERROR(_xlfn.XLOOKUP($A334,'Raw Data'!$A:$A,'Raw Data'!$AO:$AO),"")</f>
        <v/>
      </c>
      <c r="H334" s="230"/>
      <c r="I334" s="230" t="str">
        <f>IFERROR(_xlfn.XLOOKUP($A334,'Raw Data'!$A:$A,'Raw Data'!$AR:$AR),"")</f>
        <v/>
      </c>
      <c r="J334" s="230"/>
      <c r="K334" s="230" t="str">
        <f>IFERROR(_xlfn.XLOOKUP($A334,'Raw Data'!$A:$A,'Raw Data'!$AV:$AV),"")</f>
        <v/>
      </c>
      <c r="L334" s="230" t="str">
        <f>IFERROR(_xlfn.XLOOKUP($A334,'Raw Data'!$A:$A,'Raw Data'!$AW:$AW),"")</f>
        <v/>
      </c>
      <c r="M334" s="230" t="str">
        <f>IFERROR(_xlfn.XLOOKUP($A334,'Raw Data'!$A:$A,'Raw Data'!$AX:$AX),"")</f>
        <v/>
      </c>
      <c r="N334" s="230" t="str">
        <f>IFERROR(_xlfn.XLOOKUP($A334,'Raw Data'!$A:$A,'Raw Data'!$AY:$AY),"")</f>
        <v/>
      </c>
      <c r="O334" s="231" t="str">
        <f>IFERROR(1-(SUMIF('Plant BD'!$B:$B,A334,'Plant BD'!$AE:$AE)/(AA334+SUMIF('Plant BD'!$B:$B,A334,'Plant BD'!$AE:$AE))),"")</f>
        <v/>
      </c>
      <c r="P334" s="231"/>
      <c r="Q334" s="232"/>
      <c r="R334" s="231" t="str">
        <f>IFERROR(1-(SUMIF('Grid BD'!$B:$B,$A334,'Grid BD'!$AD:$AD)/($AA334+SUMIF('Grid BD'!$B:$B,$A334,'Grid BD'!AD:AD))),"")</f>
        <v/>
      </c>
      <c r="S334" s="6"/>
      <c r="T334" s="232"/>
      <c r="U334" s="233" t="str">
        <f t="shared" si="21"/>
        <v/>
      </c>
      <c r="V334" s="233"/>
      <c r="W334" s="234" t="str">
        <f t="shared" si="23"/>
        <v/>
      </c>
      <c r="X334" s="227" t="str">
        <f>IFERROR(_xlfn.XLOOKUP($A334,'Raw Data'!$A:$A,'Raw Data'!$BA:$BA),"")</f>
        <v/>
      </c>
      <c r="Y334" s="227" t="str">
        <f>IFERROR(_xlfn.XLOOKUP($A334,'Raw Data'!$A:$A,'Raw Data'!BJ:BJ),"")</f>
        <v/>
      </c>
      <c r="Z334" s="227" t="str">
        <f>IFERROR(_xlfn.XLOOKUP($A334,'Raw Data'!$A:$A,'Raw Data'!BK:BK),"")</f>
        <v/>
      </c>
      <c r="AA334" s="227" t="str">
        <f>IFERROR(_xlfn.XLOOKUP($A334,'Raw Data'!$A:$A,'Raw Data'!BL:BL),"")</f>
        <v/>
      </c>
      <c r="AB334" s="227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27">
        <f>IFERROR(_xlfn.XLOOKUP($D334,'Modelling New'!$D:$D,'Modelling New'!$T:$T)*1000,"")</f>
        <v>114630.12204031929</v>
      </c>
      <c r="AE334" s="234">
        <f>IFERROR(_xlfn.XLOOKUP($D334,'Modelling New'!$D:$D,'Modelling New'!$O:$O),"")</f>
        <v>0.68428623396557675</v>
      </c>
      <c r="AF334" s="234">
        <f>IFERROR(_xlfn.XLOOKUP($D334,'Modelling New'!$D:$D,'Modelling New'!$W:$W),"")</f>
        <v>0.19652863564785167</v>
      </c>
      <c r="AG334" s="234">
        <f>IFERROR(_xlfn.XLOOKUP($D334,'Modelling New'!$D:$D,'Modelling New'!AE:AE),"")</f>
        <v>0.995</v>
      </c>
      <c r="AH334" s="234">
        <v>0.99750000000000005</v>
      </c>
      <c r="AI334" s="6"/>
      <c r="AJ334" s="6"/>
      <c r="AK334" s="6"/>
      <c r="AL334" s="6"/>
      <c r="AM334" s="6"/>
      <c r="AN334" s="231"/>
      <c r="AO334" s="234"/>
      <c r="AP334" s="234"/>
      <c r="AQ334" s="234"/>
      <c r="AR334" s="227">
        <f>IFERROR(_xlfn.XLOOKUP($D334,'Modelling New'!$D:$D,'Modelling New'!$N:$N),"")</f>
        <v>24.303100000000001</v>
      </c>
      <c r="AS334" s="227"/>
    </row>
    <row r="335" spans="1:45" x14ac:dyDescent="0.35">
      <c r="A335" s="226">
        <f t="shared" si="22"/>
        <v>46078</v>
      </c>
      <c r="B335" s="227">
        <f>YEAR(Daily_KPI[[#This Row],[Date]])+IF(MONTH(Daily_KPI[[#This Row],[Date]])&gt;=4,1,0)</f>
        <v>2026</v>
      </c>
      <c r="C335" s="6">
        <f>YEAR(Daily_KPI[[#This Row],[Date]])</f>
        <v>2026</v>
      </c>
      <c r="D335" s="228">
        <f>Daily_KPI[[#This Row],[Date]]-DAY(Daily_KPI[[#This Row],[Date]])+1</f>
        <v>46054</v>
      </c>
      <c r="E335" s="6">
        <f t="shared" si="24"/>
        <v>28</v>
      </c>
      <c r="F335" s="229" t="str">
        <f>IFERROR(_xlfn.XLOOKUP($A335,'Raw Data'!$A:$A,'Raw Data'!$BR:$BR),"")</f>
        <v/>
      </c>
      <c r="G335" s="230" t="str">
        <f>IFERROR(_xlfn.XLOOKUP($A335,'Raw Data'!$A:$A,'Raw Data'!$AO:$AO),"")</f>
        <v/>
      </c>
      <c r="H335" s="230"/>
      <c r="I335" s="230" t="str">
        <f>IFERROR(_xlfn.XLOOKUP($A335,'Raw Data'!$A:$A,'Raw Data'!$AR:$AR),"")</f>
        <v/>
      </c>
      <c r="J335" s="230"/>
      <c r="K335" s="230" t="str">
        <f>IFERROR(_xlfn.XLOOKUP($A335,'Raw Data'!$A:$A,'Raw Data'!$AV:$AV),"")</f>
        <v/>
      </c>
      <c r="L335" s="230" t="str">
        <f>IFERROR(_xlfn.XLOOKUP($A335,'Raw Data'!$A:$A,'Raw Data'!$AW:$AW),"")</f>
        <v/>
      </c>
      <c r="M335" s="230" t="str">
        <f>IFERROR(_xlfn.XLOOKUP($A335,'Raw Data'!$A:$A,'Raw Data'!$AX:$AX),"")</f>
        <v/>
      </c>
      <c r="N335" s="230" t="str">
        <f>IFERROR(_xlfn.XLOOKUP($A335,'Raw Data'!$A:$A,'Raw Data'!$AY:$AY),"")</f>
        <v/>
      </c>
      <c r="O335" s="231" t="str">
        <f>IFERROR(1-(SUMIF('Plant BD'!$B:$B,A335,'Plant BD'!$AE:$AE)/(AA335+SUMIF('Plant BD'!$B:$B,A335,'Plant BD'!$AE:$AE))),"")</f>
        <v/>
      </c>
      <c r="P335" s="231"/>
      <c r="Q335" s="232"/>
      <c r="R335" s="231" t="str">
        <f>IFERROR(1-(SUMIF('Grid BD'!$B:$B,$A335,'Grid BD'!$AD:$AD)/($AA335+SUMIF('Grid BD'!$B:$B,$A335,'Grid BD'!AD:AD))),"")</f>
        <v/>
      </c>
      <c r="S335" s="6"/>
      <c r="T335" s="232"/>
      <c r="U335" s="233" t="str">
        <f t="shared" si="21"/>
        <v/>
      </c>
      <c r="V335" s="233"/>
      <c r="W335" s="234" t="str">
        <f t="shared" si="23"/>
        <v/>
      </c>
      <c r="X335" s="227" t="str">
        <f>IFERROR(_xlfn.XLOOKUP($A335,'Raw Data'!$A:$A,'Raw Data'!$BA:$BA),"")</f>
        <v/>
      </c>
      <c r="Y335" s="227" t="str">
        <f>IFERROR(_xlfn.XLOOKUP($A335,'Raw Data'!$A:$A,'Raw Data'!BJ:BJ),"")</f>
        <v/>
      </c>
      <c r="Z335" s="227" t="str">
        <f>IFERROR(_xlfn.XLOOKUP($A335,'Raw Data'!$A:$A,'Raw Data'!BK:BK),"")</f>
        <v/>
      </c>
      <c r="AA335" s="227" t="str">
        <f>IFERROR(_xlfn.XLOOKUP($A335,'Raw Data'!$A:$A,'Raw Data'!BL:BL),"")</f>
        <v/>
      </c>
      <c r="AB335" s="227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27">
        <f>IFERROR(_xlfn.XLOOKUP($D335,'Modelling New'!$D:$D,'Modelling New'!$T:$T)*1000,"")</f>
        <v>114630.12204031929</v>
      </c>
      <c r="AE335" s="234">
        <f>IFERROR(_xlfn.XLOOKUP($D335,'Modelling New'!$D:$D,'Modelling New'!$O:$O),"")</f>
        <v>0.68428623396557675</v>
      </c>
      <c r="AF335" s="234">
        <f>IFERROR(_xlfn.XLOOKUP($D335,'Modelling New'!$D:$D,'Modelling New'!$W:$W),"")</f>
        <v>0.19652863564785167</v>
      </c>
      <c r="AG335" s="234">
        <f>IFERROR(_xlfn.XLOOKUP($D335,'Modelling New'!$D:$D,'Modelling New'!AE:AE),"")</f>
        <v>0.995</v>
      </c>
      <c r="AH335" s="234">
        <v>0.99750000000000005</v>
      </c>
      <c r="AI335" s="6"/>
      <c r="AJ335" s="6"/>
      <c r="AK335" s="6"/>
      <c r="AL335" s="6"/>
      <c r="AM335" s="6"/>
      <c r="AN335" s="231"/>
      <c r="AO335" s="234"/>
      <c r="AP335" s="234"/>
      <c r="AQ335" s="234"/>
      <c r="AR335" s="227">
        <f>IFERROR(_xlfn.XLOOKUP($D335,'Modelling New'!$D:$D,'Modelling New'!$N:$N),"")</f>
        <v>24.303100000000001</v>
      </c>
      <c r="AS335" s="227"/>
    </row>
    <row r="336" spans="1:45" x14ac:dyDescent="0.35">
      <c r="A336" s="226">
        <f t="shared" si="22"/>
        <v>46079</v>
      </c>
      <c r="B336" s="227">
        <f>YEAR(Daily_KPI[[#This Row],[Date]])+IF(MONTH(Daily_KPI[[#This Row],[Date]])&gt;=4,1,0)</f>
        <v>2026</v>
      </c>
      <c r="C336" s="6">
        <f>YEAR(Daily_KPI[[#This Row],[Date]])</f>
        <v>2026</v>
      </c>
      <c r="D336" s="228">
        <f>Daily_KPI[[#This Row],[Date]]-DAY(Daily_KPI[[#This Row],[Date]])+1</f>
        <v>46054</v>
      </c>
      <c r="E336" s="6">
        <f t="shared" si="24"/>
        <v>28</v>
      </c>
      <c r="F336" s="229" t="str">
        <f>IFERROR(_xlfn.XLOOKUP($A336,'Raw Data'!$A:$A,'Raw Data'!$BR:$BR),"")</f>
        <v/>
      </c>
      <c r="G336" s="230" t="str">
        <f>IFERROR(_xlfn.XLOOKUP($A336,'Raw Data'!$A:$A,'Raw Data'!$AO:$AO),"")</f>
        <v/>
      </c>
      <c r="H336" s="230"/>
      <c r="I336" s="230" t="str">
        <f>IFERROR(_xlfn.XLOOKUP($A336,'Raw Data'!$A:$A,'Raw Data'!$AR:$AR),"")</f>
        <v/>
      </c>
      <c r="J336" s="230"/>
      <c r="K336" s="230" t="str">
        <f>IFERROR(_xlfn.XLOOKUP($A336,'Raw Data'!$A:$A,'Raw Data'!$AV:$AV),"")</f>
        <v/>
      </c>
      <c r="L336" s="230" t="str">
        <f>IFERROR(_xlfn.XLOOKUP($A336,'Raw Data'!$A:$A,'Raw Data'!$AW:$AW),"")</f>
        <v/>
      </c>
      <c r="M336" s="230" t="str">
        <f>IFERROR(_xlfn.XLOOKUP($A336,'Raw Data'!$A:$A,'Raw Data'!$AX:$AX),"")</f>
        <v/>
      </c>
      <c r="N336" s="230" t="str">
        <f>IFERROR(_xlfn.XLOOKUP($A336,'Raw Data'!$A:$A,'Raw Data'!$AY:$AY),"")</f>
        <v/>
      </c>
      <c r="O336" s="231" t="str">
        <f>IFERROR(1-(SUMIF('Plant BD'!$B:$B,A336,'Plant BD'!$AE:$AE)/(AA336+SUMIF('Plant BD'!$B:$B,A336,'Plant BD'!$AE:$AE))),"")</f>
        <v/>
      </c>
      <c r="P336" s="231"/>
      <c r="Q336" s="232"/>
      <c r="R336" s="231" t="str">
        <f>IFERROR(1-(SUMIF('Grid BD'!$B:$B,$A336,'Grid BD'!$AD:$AD)/($AA336+SUMIF('Grid BD'!$B:$B,$A336,'Grid BD'!AD:AD))),"")</f>
        <v/>
      </c>
      <c r="S336" s="6"/>
      <c r="T336" s="232"/>
      <c r="U336" s="233" t="str">
        <f t="shared" si="21"/>
        <v/>
      </c>
      <c r="V336" s="233"/>
      <c r="W336" s="234" t="str">
        <f t="shared" si="23"/>
        <v/>
      </c>
      <c r="X336" s="227" t="str">
        <f>IFERROR(_xlfn.XLOOKUP($A336,'Raw Data'!$A:$A,'Raw Data'!$BA:$BA),"")</f>
        <v/>
      </c>
      <c r="Y336" s="227" t="str">
        <f>IFERROR(_xlfn.XLOOKUP($A336,'Raw Data'!$A:$A,'Raw Data'!BJ:BJ),"")</f>
        <v/>
      </c>
      <c r="Z336" s="227" t="str">
        <f>IFERROR(_xlfn.XLOOKUP($A336,'Raw Data'!$A:$A,'Raw Data'!BK:BK),"")</f>
        <v/>
      </c>
      <c r="AA336" s="227" t="str">
        <f>IFERROR(_xlfn.XLOOKUP($A336,'Raw Data'!$A:$A,'Raw Data'!BL:BL),"")</f>
        <v/>
      </c>
      <c r="AB336" s="227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27">
        <f>IFERROR(_xlfn.XLOOKUP($D336,'Modelling New'!$D:$D,'Modelling New'!$T:$T)*1000,"")</f>
        <v>114630.12204031929</v>
      </c>
      <c r="AE336" s="234">
        <f>IFERROR(_xlfn.XLOOKUP($D336,'Modelling New'!$D:$D,'Modelling New'!$O:$O),"")</f>
        <v>0.68428623396557675</v>
      </c>
      <c r="AF336" s="234">
        <f>IFERROR(_xlfn.XLOOKUP($D336,'Modelling New'!$D:$D,'Modelling New'!$W:$W),"")</f>
        <v>0.19652863564785167</v>
      </c>
      <c r="AG336" s="234">
        <f>IFERROR(_xlfn.XLOOKUP($D336,'Modelling New'!$D:$D,'Modelling New'!AE:AE),"")</f>
        <v>0.995</v>
      </c>
      <c r="AH336" s="234">
        <v>0.99750000000000005</v>
      </c>
      <c r="AI336" s="6"/>
      <c r="AJ336" s="6"/>
      <c r="AK336" s="6"/>
      <c r="AL336" s="6"/>
      <c r="AM336" s="6"/>
      <c r="AN336" s="231"/>
      <c r="AO336" s="234"/>
      <c r="AP336" s="234"/>
      <c r="AQ336" s="234"/>
      <c r="AR336" s="227">
        <f>IFERROR(_xlfn.XLOOKUP($D336,'Modelling New'!$D:$D,'Modelling New'!$N:$N),"")</f>
        <v>24.303100000000001</v>
      </c>
      <c r="AS336" s="227"/>
    </row>
    <row r="337" spans="1:45" x14ac:dyDescent="0.35">
      <c r="A337" s="226">
        <f t="shared" si="22"/>
        <v>46080</v>
      </c>
      <c r="B337" s="227">
        <f>YEAR(Daily_KPI[[#This Row],[Date]])+IF(MONTH(Daily_KPI[[#This Row],[Date]])&gt;=4,1,0)</f>
        <v>2026</v>
      </c>
      <c r="C337" s="6">
        <f>YEAR(Daily_KPI[[#This Row],[Date]])</f>
        <v>2026</v>
      </c>
      <c r="D337" s="228">
        <f>Daily_KPI[[#This Row],[Date]]-DAY(Daily_KPI[[#This Row],[Date]])+1</f>
        <v>46054</v>
      </c>
      <c r="E337" s="6">
        <f t="shared" si="24"/>
        <v>28</v>
      </c>
      <c r="F337" s="229" t="str">
        <f>IFERROR(_xlfn.XLOOKUP($A337,'Raw Data'!$A:$A,'Raw Data'!$BR:$BR),"")</f>
        <v/>
      </c>
      <c r="G337" s="230" t="str">
        <f>IFERROR(_xlfn.XLOOKUP($A337,'Raw Data'!$A:$A,'Raw Data'!$AO:$AO),"")</f>
        <v/>
      </c>
      <c r="H337" s="230"/>
      <c r="I337" s="230" t="str">
        <f>IFERROR(_xlfn.XLOOKUP($A337,'Raw Data'!$A:$A,'Raw Data'!$AR:$AR),"")</f>
        <v/>
      </c>
      <c r="J337" s="230"/>
      <c r="K337" s="230" t="str">
        <f>IFERROR(_xlfn.XLOOKUP($A337,'Raw Data'!$A:$A,'Raw Data'!$AV:$AV),"")</f>
        <v/>
      </c>
      <c r="L337" s="230" t="str">
        <f>IFERROR(_xlfn.XLOOKUP($A337,'Raw Data'!$A:$A,'Raw Data'!$AW:$AW),"")</f>
        <v/>
      </c>
      <c r="M337" s="230" t="str">
        <f>IFERROR(_xlfn.XLOOKUP($A337,'Raw Data'!$A:$A,'Raw Data'!$AX:$AX),"")</f>
        <v/>
      </c>
      <c r="N337" s="230" t="str">
        <f>IFERROR(_xlfn.XLOOKUP($A337,'Raw Data'!$A:$A,'Raw Data'!$AY:$AY),"")</f>
        <v/>
      </c>
      <c r="O337" s="231" t="str">
        <f>IFERROR(1-(SUMIF('Plant BD'!$B:$B,A337,'Plant BD'!$AE:$AE)/(AA337+SUMIF('Plant BD'!$B:$B,A337,'Plant BD'!$AE:$AE))),"")</f>
        <v/>
      </c>
      <c r="P337" s="231"/>
      <c r="Q337" s="232"/>
      <c r="R337" s="231" t="str">
        <f>IFERROR(1-(SUMIF('Grid BD'!$B:$B,$A337,'Grid BD'!$AD:$AD)/($AA337+SUMIF('Grid BD'!$B:$B,$A337,'Grid BD'!AD:AD))),"")</f>
        <v/>
      </c>
      <c r="S337" s="6"/>
      <c r="T337" s="232"/>
      <c r="U337" s="233" t="str">
        <f t="shared" si="21"/>
        <v/>
      </c>
      <c r="V337" s="233"/>
      <c r="W337" s="234" t="str">
        <f t="shared" si="23"/>
        <v/>
      </c>
      <c r="X337" s="227" t="str">
        <f>IFERROR(_xlfn.XLOOKUP($A337,'Raw Data'!$A:$A,'Raw Data'!$BA:$BA),"")</f>
        <v/>
      </c>
      <c r="Y337" s="227" t="str">
        <f>IFERROR(_xlfn.XLOOKUP($A337,'Raw Data'!$A:$A,'Raw Data'!BJ:BJ),"")</f>
        <v/>
      </c>
      <c r="Z337" s="227" t="str">
        <f>IFERROR(_xlfn.XLOOKUP($A337,'Raw Data'!$A:$A,'Raw Data'!BK:BK),"")</f>
        <v/>
      </c>
      <c r="AA337" s="227" t="str">
        <f>IFERROR(_xlfn.XLOOKUP($A337,'Raw Data'!$A:$A,'Raw Data'!BL:BL),"")</f>
        <v/>
      </c>
      <c r="AB337" s="227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27">
        <f>IFERROR(_xlfn.XLOOKUP($D337,'Modelling New'!$D:$D,'Modelling New'!$T:$T)*1000,"")</f>
        <v>114630.12204031929</v>
      </c>
      <c r="AE337" s="234">
        <f>IFERROR(_xlfn.XLOOKUP($D337,'Modelling New'!$D:$D,'Modelling New'!$O:$O),"")</f>
        <v>0.68428623396557675</v>
      </c>
      <c r="AF337" s="234">
        <f>IFERROR(_xlfn.XLOOKUP($D337,'Modelling New'!$D:$D,'Modelling New'!$W:$W),"")</f>
        <v>0.19652863564785167</v>
      </c>
      <c r="AG337" s="234">
        <f>IFERROR(_xlfn.XLOOKUP($D337,'Modelling New'!$D:$D,'Modelling New'!AE:AE),"")</f>
        <v>0.995</v>
      </c>
      <c r="AH337" s="234">
        <v>0.99750000000000005</v>
      </c>
      <c r="AI337" s="6"/>
      <c r="AJ337" s="6"/>
      <c r="AK337" s="6"/>
      <c r="AL337" s="6"/>
      <c r="AM337" s="6"/>
      <c r="AN337" s="231"/>
      <c r="AO337" s="234"/>
      <c r="AP337" s="234"/>
      <c r="AQ337" s="234"/>
      <c r="AR337" s="227">
        <f>IFERROR(_xlfn.XLOOKUP($D337,'Modelling New'!$D:$D,'Modelling New'!$N:$N),"")</f>
        <v>24.303100000000001</v>
      </c>
      <c r="AS337" s="227"/>
    </row>
    <row r="338" spans="1:45" x14ac:dyDescent="0.35">
      <c r="A338" s="226">
        <f t="shared" si="22"/>
        <v>46081</v>
      </c>
      <c r="B338" s="227">
        <f>YEAR(Daily_KPI[[#This Row],[Date]])+IF(MONTH(Daily_KPI[[#This Row],[Date]])&gt;=4,1,0)</f>
        <v>2026</v>
      </c>
      <c r="C338" s="6">
        <f>YEAR(Daily_KPI[[#This Row],[Date]])</f>
        <v>2026</v>
      </c>
      <c r="D338" s="228">
        <f>Daily_KPI[[#This Row],[Date]]-DAY(Daily_KPI[[#This Row],[Date]])+1</f>
        <v>46054</v>
      </c>
      <c r="E338" s="6">
        <f t="shared" si="24"/>
        <v>28</v>
      </c>
      <c r="F338" s="229" t="str">
        <f>IFERROR(_xlfn.XLOOKUP($A338,'Raw Data'!$A:$A,'Raw Data'!$BR:$BR),"")</f>
        <v/>
      </c>
      <c r="G338" s="230" t="str">
        <f>IFERROR(_xlfn.XLOOKUP($A338,'Raw Data'!$A:$A,'Raw Data'!$AO:$AO),"")</f>
        <v/>
      </c>
      <c r="H338" s="230"/>
      <c r="I338" s="230" t="str">
        <f>IFERROR(_xlfn.XLOOKUP($A338,'Raw Data'!$A:$A,'Raw Data'!$AR:$AR),"")</f>
        <v/>
      </c>
      <c r="J338" s="230"/>
      <c r="K338" s="230" t="str">
        <f>IFERROR(_xlfn.XLOOKUP($A338,'Raw Data'!$A:$A,'Raw Data'!$AV:$AV),"")</f>
        <v/>
      </c>
      <c r="L338" s="230" t="str">
        <f>IFERROR(_xlfn.XLOOKUP($A338,'Raw Data'!$A:$A,'Raw Data'!$AW:$AW),"")</f>
        <v/>
      </c>
      <c r="M338" s="230" t="str">
        <f>IFERROR(_xlfn.XLOOKUP($A338,'Raw Data'!$A:$A,'Raw Data'!$AX:$AX),"")</f>
        <v/>
      </c>
      <c r="N338" s="230" t="str">
        <f>IFERROR(_xlfn.XLOOKUP($A338,'Raw Data'!$A:$A,'Raw Data'!$AY:$AY),"")</f>
        <v/>
      </c>
      <c r="O338" s="231" t="str">
        <f>IFERROR(1-(SUMIF('Plant BD'!$B:$B,A338,'Plant BD'!$AE:$AE)/(AA338+SUMIF('Plant BD'!$B:$B,A338,'Plant BD'!$AE:$AE))),"")</f>
        <v/>
      </c>
      <c r="P338" s="231"/>
      <c r="Q338" s="232"/>
      <c r="R338" s="231" t="str">
        <f>IFERROR(1-(SUMIF('Grid BD'!$B:$B,$A338,'Grid BD'!$AD:$AD)/($AA338+SUMIF('Grid BD'!$B:$B,$A338,'Grid BD'!AD:AD))),"")</f>
        <v/>
      </c>
      <c r="S338" s="6"/>
      <c r="T338" s="232"/>
      <c r="U338" s="233" t="str">
        <f t="shared" ref="U338:U369" si="25">IFERROR(AA338/I338/AB338/1000,"")</f>
        <v/>
      </c>
      <c r="V338" s="233"/>
      <c r="W338" s="234" t="str">
        <f t="shared" si="23"/>
        <v/>
      </c>
      <c r="X338" s="227" t="str">
        <f>IFERROR(_xlfn.XLOOKUP($A338,'Raw Data'!$A:$A,'Raw Data'!$BA:$BA),"")</f>
        <v/>
      </c>
      <c r="Y338" s="227" t="str">
        <f>IFERROR(_xlfn.XLOOKUP($A338,'Raw Data'!$A:$A,'Raw Data'!BJ:BJ),"")</f>
        <v/>
      </c>
      <c r="Z338" s="227" t="str">
        <f>IFERROR(_xlfn.XLOOKUP($A338,'Raw Data'!$A:$A,'Raw Data'!BK:BK),"")</f>
        <v/>
      </c>
      <c r="AA338" s="227" t="str">
        <f>IFERROR(_xlfn.XLOOKUP($A338,'Raw Data'!$A:$A,'Raw Data'!BL:BL),"")</f>
        <v/>
      </c>
      <c r="AB338" s="227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27">
        <f>IFERROR(_xlfn.XLOOKUP($D338,'Modelling New'!$D:$D,'Modelling New'!$T:$T)*1000,"")</f>
        <v>114630.12204031929</v>
      </c>
      <c r="AE338" s="234">
        <f>IFERROR(_xlfn.XLOOKUP($D338,'Modelling New'!$D:$D,'Modelling New'!$O:$O),"")</f>
        <v>0.68428623396557675</v>
      </c>
      <c r="AF338" s="234">
        <f>IFERROR(_xlfn.XLOOKUP($D338,'Modelling New'!$D:$D,'Modelling New'!$W:$W),"")</f>
        <v>0.19652863564785167</v>
      </c>
      <c r="AG338" s="234">
        <f>IFERROR(_xlfn.XLOOKUP($D338,'Modelling New'!$D:$D,'Modelling New'!AE:AE),"")</f>
        <v>0.995</v>
      </c>
      <c r="AH338" s="234">
        <v>0.99750000000000005</v>
      </c>
      <c r="AI338" s="6"/>
      <c r="AJ338" s="6"/>
      <c r="AK338" s="6"/>
      <c r="AL338" s="6"/>
      <c r="AM338" s="6"/>
      <c r="AN338" s="231"/>
      <c r="AO338" s="234"/>
      <c r="AP338" s="234"/>
      <c r="AQ338" s="234"/>
      <c r="AR338" s="227">
        <f>IFERROR(_xlfn.XLOOKUP($D338,'Modelling New'!$D:$D,'Modelling New'!$N:$N),"")</f>
        <v>24.303100000000001</v>
      </c>
      <c r="AS338" s="227"/>
    </row>
    <row r="339" spans="1:45" x14ac:dyDescent="0.35">
      <c r="A339" s="226">
        <f t="shared" si="22"/>
        <v>46082</v>
      </c>
      <c r="B339" s="227">
        <f>YEAR(Daily_KPI[[#This Row],[Date]])+IF(MONTH(Daily_KPI[[#This Row],[Date]])&gt;=4,1,0)</f>
        <v>2026</v>
      </c>
      <c r="C339" s="6">
        <f>YEAR(Daily_KPI[[#This Row],[Date]])</f>
        <v>2026</v>
      </c>
      <c r="D339" s="228">
        <f>Daily_KPI[[#This Row],[Date]]-DAY(Daily_KPI[[#This Row],[Date]])+1</f>
        <v>46082</v>
      </c>
      <c r="E339" s="6">
        <f t="shared" si="24"/>
        <v>31</v>
      </c>
      <c r="F339" s="229" t="str">
        <f>IFERROR(_xlfn.XLOOKUP($A339,'Raw Data'!$A:$A,'Raw Data'!$BR:$BR),"")</f>
        <v/>
      </c>
      <c r="G339" s="230" t="str">
        <f>IFERROR(_xlfn.XLOOKUP($A339,'Raw Data'!$A:$A,'Raw Data'!$AO:$AO),"")</f>
        <v/>
      </c>
      <c r="H339" s="230"/>
      <c r="I339" s="230" t="str">
        <f>IFERROR(_xlfn.XLOOKUP($A339,'Raw Data'!$A:$A,'Raw Data'!$AR:$AR),"")</f>
        <v/>
      </c>
      <c r="J339" s="230"/>
      <c r="K339" s="230" t="str">
        <f>IFERROR(_xlfn.XLOOKUP($A339,'Raw Data'!$A:$A,'Raw Data'!$AV:$AV),"")</f>
        <v/>
      </c>
      <c r="L339" s="230" t="str">
        <f>IFERROR(_xlfn.XLOOKUP($A339,'Raw Data'!$A:$A,'Raw Data'!$AW:$AW),"")</f>
        <v/>
      </c>
      <c r="M339" s="230" t="str">
        <f>IFERROR(_xlfn.XLOOKUP($A339,'Raw Data'!$A:$A,'Raw Data'!$AX:$AX),"")</f>
        <v/>
      </c>
      <c r="N339" s="230" t="str">
        <f>IFERROR(_xlfn.XLOOKUP($A339,'Raw Data'!$A:$A,'Raw Data'!$AY:$AY),"")</f>
        <v/>
      </c>
      <c r="O339" s="231" t="str">
        <f>IFERROR(1-(SUMIF('Plant BD'!$B:$B,A339,'Plant BD'!$AE:$AE)/(AA339+SUMIF('Plant BD'!$B:$B,A339,'Plant BD'!$AE:$AE))),"")</f>
        <v/>
      </c>
      <c r="P339" s="231"/>
      <c r="Q339" s="232"/>
      <c r="R339" s="231" t="str">
        <f>IFERROR(1-(SUMIF('Grid BD'!$B:$B,$A339,'Grid BD'!$AD:$AD)/($AA339+SUMIF('Grid BD'!$B:$B,$A339,'Grid BD'!AD:AD))),"")</f>
        <v/>
      </c>
      <c r="S339" s="6"/>
      <c r="T339" s="232"/>
      <c r="U339" s="233" t="str">
        <f t="shared" si="25"/>
        <v/>
      </c>
      <c r="V339" s="233"/>
      <c r="W339" s="234" t="str">
        <f t="shared" si="23"/>
        <v/>
      </c>
      <c r="X339" s="227" t="str">
        <f>IFERROR(_xlfn.XLOOKUP($A339,'Raw Data'!$A:$A,'Raw Data'!$BA:$BA),"")</f>
        <v/>
      </c>
      <c r="Y339" s="227" t="str">
        <f>IFERROR(_xlfn.XLOOKUP($A339,'Raw Data'!$A:$A,'Raw Data'!BJ:BJ),"")</f>
        <v/>
      </c>
      <c r="Z339" s="227" t="str">
        <f>IFERROR(_xlfn.XLOOKUP($A339,'Raw Data'!$A:$A,'Raw Data'!BK:BK),"")</f>
        <v/>
      </c>
      <c r="AA339" s="227" t="str">
        <f>IFERROR(_xlfn.XLOOKUP($A339,'Raw Data'!$A:$A,'Raw Data'!BL:BL),"")</f>
        <v/>
      </c>
      <c r="AB339" s="227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27">
        <f>IFERROR(_xlfn.XLOOKUP($D339,'Modelling New'!$D:$D,'Modelling New'!$T:$T)*1000,"")</f>
        <v>124131.0967036221</v>
      </c>
      <c r="AE339" s="234">
        <f>IFERROR(_xlfn.XLOOKUP($D339,'Modelling New'!$D:$D,'Modelling New'!$O:$O),"")</f>
        <v>0.74023536153896807</v>
      </c>
      <c r="AF339" s="234">
        <f>IFERROR(_xlfn.XLOOKUP($D339,'Modelling New'!$D:$D,'Modelling New'!$W:$W),"")</f>
        <v>0.21281766644245331</v>
      </c>
      <c r="AG339" s="234">
        <f>IFERROR(_xlfn.XLOOKUP($D339,'Modelling New'!$D:$D,'Modelling New'!AE:AE),"")</f>
        <v>0.995</v>
      </c>
      <c r="AH339" s="234">
        <v>0.99750000000000005</v>
      </c>
      <c r="AI339" s="6"/>
      <c r="AJ339" s="6"/>
      <c r="AK339" s="6"/>
      <c r="AL339" s="6"/>
      <c r="AM339" s="6"/>
      <c r="AN339" s="231"/>
      <c r="AO339" s="234"/>
      <c r="AP339" s="234"/>
      <c r="AQ339" s="234"/>
      <c r="AR339" s="227">
        <f>IFERROR(_xlfn.XLOOKUP($D339,'Modelling New'!$D:$D,'Modelling New'!$N:$N),"")</f>
        <v>24.303100000000001</v>
      </c>
      <c r="AS339" s="227"/>
    </row>
    <row r="340" spans="1:45" x14ac:dyDescent="0.35">
      <c r="A340" s="226">
        <f t="shared" ref="A340:A369" si="26">A339+1</f>
        <v>46083</v>
      </c>
      <c r="B340" s="227">
        <f>YEAR(Daily_KPI[[#This Row],[Date]])+IF(MONTH(Daily_KPI[[#This Row],[Date]])&gt;=4,1,0)</f>
        <v>2026</v>
      </c>
      <c r="C340" s="6">
        <f>YEAR(Daily_KPI[[#This Row],[Date]])</f>
        <v>2026</v>
      </c>
      <c r="D340" s="228">
        <f>Daily_KPI[[#This Row],[Date]]-DAY(Daily_KPI[[#This Row],[Date]])+1</f>
        <v>46082</v>
      </c>
      <c r="E340" s="6">
        <f t="shared" si="24"/>
        <v>31</v>
      </c>
      <c r="F340" s="229" t="str">
        <f>IFERROR(_xlfn.XLOOKUP($A340,'Raw Data'!$A:$A,'Raw Data'!$BR:$BR),"")</f>
        <v/>
      </c>
      <c r="G340" s="230" t="str">
        <f>IFERROR(_xlfn.XLOOKUP($A340,'Raw Data'!$A:$A,'Raw Data'!$AO:$AO),"")</f>
        <v/>
      </c>
      <c r="H340" s="230"/>
      <c r="I340" s="230" t="str">
        <f>IFERROR(_xlfn.XLOOKUP($A340,'Raw Data'!$A:$A,'Raw Data'!$AR:$AR),"")</f>
        <v/>
      </c>
      <c r="J340" s="230"/>
      <c r="K340" s="230" t="str">
        <f>IFERROR(_xlfn.XLOOKUP($A340,'Raw Data'!$A:$A,'Raw Data'!$AV:$AV),"")</f>
        <v/>
      </c>
      <c r="L340" s="230" t="str">
        <f>IFERROR(_xlfn.XLOOKUP($A340,'Raw Data'!$A:$A,'Raw Data'!$AW:$AW),"")</f>
        <v/>
      </c>
      <c r="M340" s="230" t="str">
        <f>IFERROR(_xlfn.XLOOKUP($A340,'Raw Data'!$A:$A,'Raw Data'!$AX:$AX),"")</f>
        <v/>
      </c>
      <c r="N340" s="230" t="str">
        <f>IFERROR(_xlfn.XLOOKUP($A340,'Raw Data'!$A:$A,'Raw Data'!$AY:$AY),"")</f>
        <v/>
      </c>
      <c r="O340" s="231" t="str">
        <f>IFERROR(1-(SUMIF('Plant BD'!$B:$B,A340,'Plant BD'!$AE:$AE)/(AA340+SUMIF('Plant BD'!$B:$B,A340,'Plant BD'!$AE:$AE))),"")</f>
        <v/>
      </c>
      <c r="P340" s="231"/>
      <c r="Q340" s="232"/>
      <c r="R340" s="231" t="str">
        <f>IFERROR(1-(SUMIF('Grid BD'!$B:$B,$A340,'Grid BD'!$AD:$AD)/($AA340+SUMIF('Grid BD'!$B:$B,$A340,'Grid BD'!AD:AD))),"")</f>
        <v/>
      </c>
      <c r="S340" s="6"/>
      <c r="T340" s="232"/>
      <c r="U340" s="233" t="str">
        <f t="shared" si="25"/>
        <v/>
      </c>
      <c r="V340" s="233"/>
      <c r="W340" s="234" t="str">
        <f t="shared" si="23"/>
        <v/>
      </c>
      <c r="X340" s="227" t="str">
        <f>IFERROR(_xlfn.XLOOKUP($A340,'Raw Data'!$A:$A,'Raw Data'!$BA:$BA),"")</f>
        <v/>
      </c>
      <c r="Y340" s="227" t="str">
        <f>IFERROR(_xlfn.XLOOKUP($A340,'Raw Data'!$A:$A,'Raw Data'!BJ:BJ),"")</f>
        <v/>
      </c>
      <c r="Z340" s="227" t="str">
        <f>IFERROR(_xlfn.XLOOKUP($A340,'Raw Data'!$A:$A,'Raw Data'!BK:BK),"")</f>
        <v/>
      </c>
      <c r="AA340" s="227" t="str">
        <f>IFERROR(_xlfn.XLOOKUP($A340,'Raw Data'!$A:$A,'Raw Data'!BL:BL),"")</f>
        <v/>
      </c>
      <c r="AB340" s="227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27">
        <f>IFERROR(_xlfn.XLOOKUP($D340,'Modelling New'!$D:$D,'Modelling New'!$T:$T)*1000,"")</f>
        <v>124131.0967036221</v>
      </c>
      <c r="AE340" s="234">
        <f>IFERROR(_xlfn.XLOOKUP($D340,'Modelling New'!$D:$D,'Modelling New'!$O:$O),"")</f>
        <v>0.74023536153896807</v>
      </c>
      <c r="AF340" s="234">
        <f>IFERROR(_xlfn.XLOOKUP($D340,'Modelling New'!$D:$D,'Modelling New'!$W:$W),"")</f>
        <v>0.21281766644245331</v>
      </c>
      <c r="AG340" s="234">
        <f>IFERROR(_xlfn.XLOOKUP($D340,'Modelling New'!$D:$D,'Modelling New'!AE:AE),"")</f>
        <v>0.995</v>
      </c>
      <c r="AH340" s="234">
        <v>0.99750000000000005</v>
      </c>
      <c r="AI340" s="6"/>
      <c r="AJ340" s="6"/>
      <c r="AK340" s="6"/>
      <c r="AL340" s="6"/>
      <c r="AM340" s="6"/>
      <c r="AN340" s="231"/>
      <c r="AO340" s="234"/>
      <c r="AP340" s="234"/>
      <c r="AQ340" s="234"/>
      <c r="AR340" s="227">
        <f>IFERROR(_xlfn.XLOOKUP($D340,'Modelling New'!$D:$D,'Modelling New'!$N:$N),"")</f>
        <v>24.303100000000001</v>
      </c>
      <c r="AS340" s="227"/>
    </row>
    <row r="341" spans="1:45" x14ac:dyDescent="0.35">
      <c r="A341" s="226">
        <f t="shared" si="26"/>
        <v>46084</v>
      </c>
      <c r="B341" s="227">
        <f>YEAR(Daily_KPI[[#This Row],[Date]])+IF(MONTH(Daily_KPI[[#This Row],[Date]])&gt;=4,1,0)</f>
        <v>2026</v>
      </c>
      <c r="C341" s="6">
        <f>YEAR(Daily_KPI[[#This Row],[Date]])</f>
        <v>2026</v>
      </c>
      <c r="D341" s="228">
        <f>Daily_KPI[[#This Row],[Date]]-DAY(Daily_KPI[[#This Row],[Date]])+1</f>
        <v>46082</v>
      </c>
      <c r="E341" s="6">
        <f t="shared" si="24"/>
        <v>31</v>
      </c>
      <c r="F341" s="229" t="str">
        <f>IFERROR(_xlfn.XLOOKUP($A341,'Raw Data'!$A:$A,'Raw Data'!$BR:$BR),"")</f>
        <v/>
      </c>
      <c r="G341" s="230" t="str">
        <f>IFERROR(_xlfn.XLOOKUP($A341,'Raw Data'!$A:$A,'Raw Data'!$AO:$AO),"")</f>
        <v/>
      </c>
      <c r="H341" s="230"/>
      <c r="I341" s="230" t="str">
        <f>IFERROR(_xlfn.XLOOKUP($A341,'Raw Data'!$A:$A,'Raw Data'!$AR:$AR),"")</f>
        <v/>
      </c>
      <c r="J341" s="230"/>
      <c r="K341" s="230" t="str">
        <f>IFERROR(_xlfn.XLOOKUP($A341,'Raw Data'!$A:$A,'Raw Data'!$AV:$AV),"")</f>
        <v/>
      </c>
      <c r="L341" s="230" t="str">
        <f>IFERROR(_xlfn.XLOOKUP($A341,'Raw Data'!$A:$A,'Raw Data'!$AW:$AW),"")</f>
        <v/>
      </c>
      <c r="M341" s="230" t="str">
        <f>IFERROR(_xlfn.XLOOKUP($A341,'Raw Data'!$A:$A,'Raw Data'!$AX:$AX),"")</f>
        <v/>
      </c>
      <c r="N341" s="230" t="str">
        <f>IFERROR(_xlfn.XLOOKUP($A341,'Raw Data'!$A:$A,'Raw Data'!$AY:$AY),"")</f>
        <v/>
      </c>
      <c r="O341" s="231" t="str">
        <f>IFERROR(1-(SUMIF('Plant BD'!$B:$B,A341,'Plant BD'!$AE:$AE)/(AA341+SUMIF('Plant BD'!$B:$B,A341,'Plant BD'!$AE:$AE))),"")</f>
        <v/>
      </c>
      <c r="P341" s="231"/>
      <c r="Q341" s="232"/>
      <c r="R341" s="231" t="str">
        <f>IFERROR(1-(SUMIF('Grid BD'!$B:$B,$A341,'Grid BD'!$AD:$AD)/($AA341+SUMIF('Grid BD'!$B:$B,$A341,'Grid BD'!AD:AD))),"")</f>
        <v/>
      </c>
      <c r="S341" s="6"/>
      <c r="T341" s="232"/>
      <c r="U341" s="233" t="str">
        <f t="shared" si="25"/>
        <v/>
      </c>
      <c r="V341" s="233"/>
      <c r="W341" s="234" t="str">
        <f t="shared" si="23"/>
        <v/>
      </c>
      <c r="X341" s="227" t="str">
        <f>IFERROR(_xlfn.XLOOKUP($A341,'Raw Data'!$A:$A,'Raw Data'!$BA:$BA),"")</f>
        <v/>
      </c>
      <c r="Y341" s="227" t="str">
        <f>IFERROR(_xlfn.XLOOKUP($A341,'Raw Data'!$A:$A,'Raw Data'!BJ:BJ),"")</f>
        <v/>
      </c>
      <c r="Z341" s="227" t="str">
        <f>IFERROR(_xlfn.XLOOKUP($A341,'Raw Data'!$A:$A,'Raw Data'!BK:BK),"")</f>
        <v/>
      </c>
      <c r="AA341" s="227" t="str">
        <f>IFERROR(_xlfn.XLOOKUP($A341,'Raw Data'!$A:$A,'Raw Data'!BL:BL),"")</f>
        <v/>
      </c>
      <c r="AB341" s="227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27">
        <f>IFERROR(_xlfn.XLOOKUP($D341,'Modelling New'!$D:$D,'Modelling New'!$T:$T)*1000,"")</f>
        <v>124131.0967036221</v>
      </c>
      <c r="AE341" s="234">
        <f>IFERROR(_xlfn.XLOOKUP($D341,'Modelling New'!$D:$D,'Modelling New'!$O:$O),"")</f>
        <v>0.74023536153896807</v>
      </c>
      <c r="AF341" s="234">
        <f>IFERROR(_xlfn.XLOOKUP($D341,'Modelling New'!$D:$D,'Modelling New'!$W:$W),"")</f>
        <v>0.21281766644245331</v>
      </c>
      <c r="AG341" s="234">
        <f>IFERROR(_xlfn.XLOOKUP($D341,'Modelling New'!$D:$D,'Modelling New'!AE:AE),"")</f>
        <v>0.995</v>
      </c>
      <c r="AH341" s="234">
        <v>0.99750000000000005</v>
      </c>
      <c r="AI341" s="6"/>
      <c r="AJ341" s="6"/>
      <c r="AK341" s="6"/>
      <c r="AL341" s="6"/>
      <c r="AM341" s="6"/>
      <c r="AN341" s="231"/>
      <c r="AO341" s="234"/>
      <c r="AP341" s="234"/>
      <c r="AQ341" s="234"/>
      <c r="AR341" s="227">
        <f>IFERROR(_xlfn.XLOOKUP($D341,'Modelling New'!$D:$D,'Modelling New'!$N:$N),"")</f>
        <v>24.303100000000001</v>
      </c>
      <c r="AS341" s="227"/>
    </row>
    <row r="342" spans="1:45" x14ac:dyDescent="0.35">
      <c r="A342" s="226">
        <f t="shared" si="26"/>
        <v>46085</v>
      </c>
      <c r="B342" s="227">
        <f>YEAR(Daily_KPI[[#This Row],[Date]])+IF(MONTH(Daily_KPI[[#This Row],[Date]])&gt;=4,1,0)</f>
        <v>2026</v>
      </c>
      <c r="C342" s="6">
        <f>YEAR(Daily_KPI[[#This Row],[Date]])</f>
        <v>2026</v>
      </c>
      <c r="D342" s="228">
        <f>Daily_KPI[[#This Row],[Date]]-DAY(Daily_KPI[[#This Row],[Date]])+1</f>
        <v>46082</v>
      </c>
      <c r="E342" s="6">
        <f t="shared" si="24"/>
        <v>31</v>
      </c>
      <c r="F342" s="229" t="str">
        <f>IFERROR(_xlfn.XLOOKUP($A342,'Raw Data'!$A:$A,'Raw Data'!$BR:$BR),"")</f>
        <v/>
      </c>
      <c r="G342" s="230" t="str">
        <f>IFERROR(_xlfn.XLOOKUP($A342,'Raw Data'!$A:$A,'Raw Data'!$AO:$AO),"")</f>
        <v/>
      </c>
      <c r="H342" s="230"/>
      <c r="I342" s="230" t="str">
        <f>IFERROR(_xlfn.XLOOKUP($A342,'Raw Data'!$A:$A,'Raw Data'!$AR:$AR),"")</f>
        <v/>
      </c>
      <c r="J342" s="230"/>
      <c r="K342" s="230" t="str">
        <f>IFERROR(_xlfn.XLOOKUP($A342,'Raw Data'!$A:$A,'Raw Data'!$AV:$AV),"")</f>
        <v/>
      </c>
      <c r="L342" s="230" t="str">
        <f>IFERROR(_xlfn.XLOOKUP($A342,'Raw Data'!$A:$A,'Raw Data'!$AW:$AW),"")</f>
        <v/>
      </c>
      <c r="M342" s="230" t="str">
        <f>IFERROR(_xlfn.XLOOKUP($A342,'Raw Data'!$A:$A,'Raw Data'!$AX:$AX),"")</f>
        <v/>
      </c>
      <c r="N342" s="230" t="str">
        <f>IFERROR(_xlfn.XLOOKUP($A342,'Raw Data'!$A:$A,'Raw Data'!$AY:$AY),"")</f>
        <v/>
      </c>
      <c r="O342" s="231" t="str">
        <f>IFERROR(1-(SUMIF('Plant BD'!$B:$B,A342,'Plant BD'!$AE:$AE)/(AA342+SUMIF('Plant BD'!$B:$B,A342,'Plant BD'!$AE:$AE))),"")</f>
        <v/>
      </c>
      <c r="P342" s="231"/>
      <c r="Q342" s="232"/>
      <c r="R342" s="231" t="str">
        <f>IFERROR(1-(SUMIF('Grid BD'!$B:$B,$A342,'Grid BD'!$AD:$AD)/($AA342+SUMIF('Grid BD'!$B:$B,$A342,'Grid BD'!AD:AD))),"")</f>
        <v/>
      </c>
      <c r="S342" s="6"/>
      <c r="T342" s="232"/>
      <c r="U342" s="233" t="str">
        <f t="shared" si="25"/>
        <v/>
      </c>
      <c r="V342" s="233"/>
      <c r="W342" s="234" t="str">
        <f t="shared" si="23"/>
        <v/>
      </c>
      <c r="X342" s="227" t="str">
        <f>IFERROR(_xlfn.XLOOKUP($A342,'Raw Data'!$A:$A,'Raw Data'!$BA:$BA),"")</f>
        <v/>
      </c>
      <c r="Y342" s="227" t="str">
        <f>IFERROR(_xlfn.XLOOKUP($A342,'Raw Data'!$A:$A,'Raw Data'!BJ:BJ),"")</f>
        <v/>
      </c>
      <c r="Z342" s="227" t="str">
        <f>IFERROR(_xlfn.XLOOKUP($A342,'Raw Data'!$A:$A,'Raw Data'!BK:BK),"")</f>
        <v/>
      </c>
      <c r="AA342" s="227" t="str">
        <f>IFERROR(_xlfn.XLOOKUP($A342,'Raw Data'!$A:$A,'Raw Data'!BL:BL),"")</f>
        <v/>
      </c>
      <c r="AB342" s="227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27">
        <f>IFERROR(_xlfn.XLOOKUP($D342,'Modelling New'!$D:$D,'Modelling New'!$T:$T)*1000,"")</f>
        <v>124131.0967036221</v>
      </c>
      <c r="AE342" s="234">
        <f>IFERROR(_xlfn.XLOOKUP($D342,'Modelling New'!$D:$D,'Modelling New'!$O:$O),"")</f>
        <v>0.74023536153896807</v>
      </c>
      <c r="AF342" s="234">
        <f>IFERROR(_xlfn.XLOOKUP($D342,'Modelling New'!$D:$D,'Modelling New'!$W:$W),"")</f>
        <v>0.21281766644245331</v>
      </c>
      <c r="AG342" s="234">
        <f>IFERROR(_xlfn.XLOOKUP($D342,'Modelling New'!$D:$D,'Modelling New'!AE:AE),"")</f>
        <v>0.995</v>
      </c>
      <c r="AH342" s="234">
        <v>0.99750000000000005</v>
      </c>
      <c r="AI342" s="6"/>
      <c r="AJ342" s="6"/>
      <c r="AK342" s="6"/>
      <c r="AL342" s="6"/>
      <c r="AM342" s="6"/>
      <c r="AN342" s="231"/>
      <c r="AO342" s="234"/>
      <c r="AP342" s="234"/>
      <c r="AQ342" s="234"/>
      <c r="AR342" s="227">
        <f>IFERROR(_xlfn.XLOOKUP($D342,'Modelling New'!$D:$D,'Modelling New'!$N:$N),"")</f>
        <v>24.303100000000001</v>
      </c>
      <c r="AS342" s="227"/>
    </row>
    <row r="343" spans="1:45" x14ac:dyDescent="0.35">
      <c r="A343" s="226">
        <f t="shared" si="26"/>
        <v>46086</v>
      </c>
      <c r="B343" s="227">
        <f>YEAR(Daily_KPI[[#This Row],[Date]])+IF(MONTH(Daily_KPI[[#This Row],[Date]])&gt;=4,1,0)</f>
        <v>2026</v>
      </c>
      <c r="C343" s="6">
        <f>YEAR(Daily_KPI[[#This Row],[Date]])</f>
        <v>2026</v>
      </c>
      <c r="D343" s="228">
        <f>Daily_KPI[[#This Row],[Date]]-DAY(Daily_KPI[[#This Row],[Date]])+1</f>
        <v>46082</v>
      </c>
      <c r="E343" s="6">
        <f t="shared" si="24"/>
        <v>31</v>
      </c>
      <c r="F343" s="229" t="str">
        <f>IFERROR(_xlfn.XLOOKUP($A343,'Raw Data'!$A:$A,'Raw Data'!$BR:$BR),"")</f>
        <v/>
      </c>
      <c r="G343" s="230" t="str">
        <f>IFERROR(_xlfn.XLOOKUP($A343,'Raw Data'!$A:$A,'Raw Data'!$AO:$AO),"")</f>
        <v/>
      </c>
      <c r="H343" s="230"/>
      <c r="I343" s="230" t="str">
        <f>IFERROR(_xlfn.XLOOKUP($A343,'Raw Data'!$A:$A,'Raw Data'!$AR:$AR),"")</f>
        <v/>
      </c>
      <c r="J343" s="230"/>
      <c r="K343" s="230" t="str">
        <f>IFERROR(_xlfn.XLOOKUP($A343,'Raw Data'!$A:$A,'Raw Data'!$AV:$AV),"")</f>
        <v/>
      </c>
      <c r="L343" s="230" t="str">
        <f>IFERROR(_xlfn.XLOOKUP($A343,'Raw Data'!$A:$A,'Raw Data'!$AW:$AW),"")</f>
        <v/>
      </c>
      <c r="M343" s="230" t="str">
        <f>IFERROR(_xlfn.XLOOKUP($A343,'Raw Data'!$A:$A,'Raw Data'!$AX:$AX),"")</f>
        <v/>
      </c>
      <c r="N343" s="230" t="str">
        <f>IFERROR(_xlfn.XLOOKUP($A343,'Raw Data'!$A:$A,'Raw Data'!$AY:$AY),"")</f>
        <v/>
      </c>
      <c r="O343" s="231" t="str">
        <f>IFERROR(1-(SUMIF('Plant BD'!$B:$B,A343,'Plant BD'!$AE:$AE)/(AA343+SUMIF('Plant BD'!$B:$B,A343,'Plant BD'!$AE:$AE))),"")</f>
        <v/>
      </c>
      <c r="P343" s="231"/>
      <c r="Q343" s="232"/>
      <c r="R343" s="231" t="str">
        <f>IFERROR(1-(SUMIF('Grid BD'!$B:$B,$A343,'Grid BD'!$AD:$AD)/($AA343+SUMIF('Grid BD'!$B:$B,$A343,'Grid BD'!AD:AD))),"")</f>
        <v/>
      </c>
      <c r="S343" s="6"/>
      <c r="T343" s="232"/>
      <c r="U343" s="233" t="str">
        <f t="shared" si="25"/>
        <v/>
      </c>
      <c r="V343" s="233"/>
      <c r="W343" s="234" t="str">
        <f t="shared" si="23"/>
        <v/>
      </c>
      <c r="X343" s="227" t="str">
        <f>IFERROR(_xlfn.XLOOKUP($A343,'Raw Data'!$A:$A,'Raw Data'!$BA:$BA),"")</f>
        <v/>
      </c>
      <c r="Y343" s="227" t="str">
        <f>IFERROR(_xlfn.XLOOKUP($A343,'Raw Data'!$A:$A,'Raw Data'!BJ:BJ),"")</f>
        <v/>
      </c>
      <c r="Z343" s="227" t="str">
        <f>IFERROR(_xlfn.XLOOKUP($A343,'Raw Data'!$A:$A,'Raw Data'!BK:BK),"")</f>
        <v/>
      </c>
      <c r="AA343" s="227" t="str">
        <f>IFERROR(_xlfn.XLOOKUP($A343,'Raw Data'!$A:$A,'Raw Data'!BL:BL),"")</f>
        <v/>
      </c>
      <c r="AB343" s="227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27">
        <f>IFERROR(_xlfn.XLOOKUP($D343,'Modelling New'!$D:$D,'Modelling New'!$T:$T)*1000,"")</f>
        <v>124131.0967036221</v>
      </c>
      <c r="AE343" s="234">
        <f>IFERROR(_xlfn.XLOOKUP($D343,'Modelling New'!$D:$D,'Modelling New'!$O:$O),"")</f>
        <v>0.74023536153896807</v>
      </c>
      <c r="AF343" s="234">
        <f>IFERROR(_xlfn.XLOOKUP($D343,'Modelling New'!$D:$D,'Modelling New'!$W:$W),"")</f>
        <v>0.21281766644245331</v>
      </c>
      <c r="AG343" s="234">
        <f>IFERROR(_xlfn.XLOOKUP($D343,'Modelling New'!$D:$D,'Modelling New'!AE:AE),"")</f>
        <v>0.995</v>
      </c>
      <c r="AH343" s="234">
        <v>0.99750000000000005</v>
      </c>
      <c r="AI343" s="6"/>
      <c r="AJ343" s="6"/>
      <c r="AK343" s="6"/>
      <c r="AL343" s="6"/>
      <c r="AM343" s="6"/>
      <c r="AN343" s="231"/>
      <c r="AO343" s="234"/>
      <c r="AP343" s="234"/>
      <c r="AQ343" s="234"/>
      <c r="AR343" s="227">
        <f>IFERROR(_xlfn.XLOOKUP($D343,'Modelling New'!$D:$D,'Modelling New'!$N:$N),"")</f>
        <v>24.303100000000001</v>
      </c>
      <c r="AS343" s="227"/>
    </row>
    <row r="344" spans="1:45" x14ac:dyDescent="0.35">
      <c r="A344" s="226">
        <f t="shared" si="26"/>
        <v>46087</v>
      </c>
      <c r="B344" s="227">
        <f>YEAR(Daily_KPI[[#This Row],[Date]])+IF(MONTH(Daily_KPI[[#This Row],[Date]])&gt;=4,1,0)</f>
        <v>2026</v>
      </c>
      <c r="C344" s="6">
        <f>YEAR(Daily_KPI[[#This Row],[Date]])</f>
        <v>2026</v>
      </c>
      <c r="D344" s="228">
        <f>Daily_KPI[[#This Row],[Date]]-DAY(Daily_KPI[[#This Row],[Date]])+1</f>
        <v>46082</v>
      </c>
      <c r="E344" s="6">
        <f t="shared" si="24"/>
        <v>31</v>
      </c>
      <c r="F344" s="229" t="str">
        <f>IFERROR(_xlfn.XLOOKUP($A344,'Raw Data'!$A:$A,'Raw Data'!$BR:$BR),"")</f>
        <v/>
      </c>
      <c r="G344" s="230" t="str">
        <f>IFERROR(_xlfn.XLOOKUP($A344,'Raw Data'!$A:$A,'Raw Data'!$AO:$AO),"")</f>
        <v/>
      </c>
      <c r="H344" s="230"/>
      <c r="I344" s="230" t="str">
        <f>IFERROR(_xlfn.XLOOKUP($A344,'Raw Data'!$A:$A,'Raw Data'!$AR:$AR),"")</f>
        <v/>
      </c>
      <c r="J344" s="230"/>
      <c r="K344" s="230" t="str">
        <f>IFERROR(_xlfn.XLOOKUP($A344,'Raw Data'!$A:$A,'Raw Data'!$AV:$AV),"")</f>
        <v/>
      </c>
      <c r="L344" s="230" t="str">
        <f>IFERROR(_xlfn.XLOOKUP($A344,'Raw Data'!$A:$A,'Raw Data'!$AW:$AW),"")</f>
        <v/>
      </c>
      <c r="M344" s="230" t="str">
        <f>IFERROR(_xlfn.XLOOKUP($A344,'Raw Data'!$A:$A,'Raw Data'!$AX:$AX),"")</f>
        <v/>
      </c>
      <c r="N344" s="230" t="str">
        <f>IFERROR(_xlfn.XLOOKUP($A344,'Raw Data'!$A:$A,'Raw Data'!$AY:$AY),"")</f>
        <v/>
      </c>
      <c r="O344" s="231" t="str">
        <f>IFERROR(1-(SUMIF('Plant BD'!$B:$B,A344,'Plant BD'!$AE:$AE)/(AA344+SUMIF('Plant BD'!$B:$B,A344,'Plant BD'!$AE:$AE))),"")</f>
        <v/>
      </c>
      <c r="P344" s="231"/>
      <c r="Q344" s="232"/>
      <c r="R344" s="231" t="str">
        <f>IFERROR(1-(SUMIF('Grid BD'!$B:$B,$A344,'Grid BD'!$AD:$AD)/($AA344+SUMIF('Grid BD'!$B:$B,$A344,'Grid BD'!AD:AD))),"")</f>
        <v/>
      </c>
      <c r="S344" s="6"/>
      <c r="T344" s="232"/>
      <c r="U344" s="233" t="str">
        <f t="shared" si="25"/>
        <v/>
      </c>
      <c r="V344" s="233"/>
      <c r="W344" s="234" t="str">
        <f t="shared" si="23"/>
        <v/>
      </c>
      <c r="X344" s="227" t="str">
        <f>IFERROR(_xlfn.XLOOKUP($A344,'Raw Data'!$A:$A,'Raw Data'!$BA:$BA),"")</f>
        <v/>
      </c>
      <c r="Y344" s="227" t="str">
        <f>IFERROR(_xlfn.XLOOKUP($A344,'Raw Data'!$A:$A,'Raw Data'!BJ:BJ),"")</f>
        <v/>
      </c>
      <c r="Z344" s="227" t="str">
        <f>IFERROR(_xlfn.XLOOKUP($A344,'Raw Data'!$A:$A,'Raw Data'!BK:BK),"")</f>
        <v/>
      </c>
      <c r="AA344" s="227" t="str">
        <f>IFERROR(_xlfn.XLOOKUP($A344,'Raw Data'!$A:$A,'Raw Data'!BL:BL),"")</f>
        <v/>
      </c>
      <c r="AB344" s="227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27">
        <f>IFERROR(_xlfn.XLOOKUP($D344,'Modelling New'!$D:$D,'Modelling New'!$T:$T)*1000,"")</f>
        <v>124131.0967036221</v>
      </c>
      <c r="AE344" s="234">
        <f>IFERROR(_xlfn.XLOOKUP($D344,'Modelling New'!$D:$D,'Modelling New'!$O:$O),"")</f>
        <v>0.74023536153896807</v>
      </c>
      <c r="AF344" s="234">
        <f>IFERROR(_xlfn.XLOOKUP($D344,'Modelling New'!$D:$D,'Modelling New'!$W:$W),"")</f>
        <v>0.21281766644245331</v>
      </c>
      <c r="AG344" s="234">
        <f>IFERROR(_xlfn.XLOOKUP($D344,'Modelling New'!$D:$D,'Modelling New'!AE:AE),"")</f>
        <v>0.995</v>
      </c>
      <c r="AH344" s="234">
        <v>0.99750000000000005</v>
      </c>
      <c r="AI344" s="6"/>
      <c r="AJ344" s="6"/>
      <c r="AK344" s="6"/>
      <c r="AL344" s="6"/>
      <c r="AM344" s="6"/>
      <c r="AN344" s="231"/>
      <c r="AO344" s="234"/>
      <c r="AP344" s="234"/>
      <c r="AQ344" s="234"/>
      <c r="AR344" s="227">
        <f>IFERROR(_xlfn.XLOOKUP($D344,'Modelling New'!$D:$D,'Modelling New'!$N:$N),"")</f>
        <v>24.303100000000001</v>
      </c>
      <c r="AS344" s="227"/>
    </row>
    <row r="345" spans="1:45" x14ac:dyDescent="0.35">
      <c r="A345" s="226">
        <f t="shared" si="26"/>
        <v>46088</v>
      </c>
      <c r="B345" s="227">
        <f>YEAR(Daily_KPI[[#This Row],[Date]])+IF(MONTH(Daily_KPI[[#This Row],[Date]])&gt;=4,1,0)</f>
        <v>2026</v>
      </c>
      <c r="C345" s="6">
        <f>YEAR(Daily_KPI[[#This Row],[Date]])</f>
        <v>2026</v>
      </c>
      <c r="D345" s="228">
        <f>Daily_KPI[[#This Row],[Date]]-DAY(Daily_KPI[[#This Row],[Date]])+1</f>
        <v>46082</v>
      </c>
      <c r="E345" s="6">
        <f t="shared" si="24"/>
        <v>31</v>
      </c>
      <c r="F345" s="229" t="str">
        <f>IFERROR(_xlfn.XLOOKUP($A345,'Raw Data'!$A:$A,'Raw Data'!$BR:$BR),"")</f>
        <v/>
      </c>
      <c r="G345" s="230" t="str">
        <f>IFERROR(_xlfn.XLOOKUP($A345,'Raw Data'!$A:$A,'Raw Data'!$AO:$AO),"")</f>
        <v/>
      </c>
      <c r="H345" s="230"/>
      <c r="I345" s="230" t="str">
        <f>IFERROR(_xlfn.XLOOKUP($A345,'Raw Data'!$A:$A,'Raw Data'!$AR:$AR),"")</f>
        <v/>
      </c>
      <c r="J345" s="230"/>
      <c r="K345" s="230" t="str">
        <f>IFERROR(_xlfn.XLOOKUP($A345,'Raw Data'!$A:$A,'Raw Data'!$AV:$AV),"")</f>
        <v/>
      </c>
      <c r="L345" s="230" t="str">
        <f>IFERROR(_xlfn.XLOOKUP($A345,'Raw Data'!$A:$A,'Raw Data'!$AW:$AW),"")</f>
        <v/>
      </c>
      <c r="M345" s="230" t="str">
        <f>IFERROR(_xlfn.XLOOKUP($A345,'Raw Data'!$A:$A,'Raw Data'!$AX:$AX),"")</f>
        <v/>
      </c>
      <c r="N345" s="230" t="str">
        <f>IFERROR(_xlfn.XLOOKUP($A345,'Raw Data'!$A:$A,'Raw Data'!$AY:$AY),"")</f>
        <v/>
      </c>
      <c r="O345" s="231" t="str">
        <f>IFERROR(1-(SUMIF('Plant BD'!$B:$B,A345,'Plant BD'!$AE:$AE)/(AA345+SUMIF('Plant BD'!$B:$B,A345,'Plant BD'!$AE:$AE))),"")</f>
        <v/>
      </c>
      <c r="P345" s="231"/>
      <c r="Q345" s="232"/>
      <c r="R345" s="231" t="str">
        <f>IFERROR(1-(SUMIF('Grid BD'!$B:$B,$A345,'Grid BD'!$AD:$AD)/($AA345+SUMIF('Grid BD'!$B:$B,$A345,'Grid BD'!AD:AD))),"")</f>
        <v/>
      </c>
      <c r="S345" s="6"/>
      <c r="T345" s="232"/>
      <c r="U345" s="233" t="str">
        <f t="shared" si="25"/>
        <v/>
      </c>
      <c r="V345" s="233"/>
      <c r="W345" s="234" t="str">
        <f t="shared" si="23"/>
        <v/>
      </c>
      <c r="X345" s="227" t="str">
        <f>IFERROR(_xlfn.XLOOKUP($A345,'Raw Data'!$A:$A,'Raw Data'!$BA:$BA),"")</f>
        <v/>
      </c>
      <c r="Y345" s="227" t="str">
        <f>IFERROR(_xlfn.XLOOKUP($A345,'Raw Data'!$A:$A,'Raw Data'!BJ:BJ),"")</f>
        <v/>
      </c>
      <c r="Z345" s="227" t="str">
        <f>IFERROR(_xlfn.XLOOKUP($A345,'Raw Data'!$A:$A,'Raw Data'!BK:BK),"")</f>
        <v/>
      </c>
      <c r="AA345" s="227" t="str">
        <f>IFERROR(_xlfn.XLOOKUP($A345,'Raw Data'!$A:$A,'Raw Data'!BL:BL),"")</f>
        <v/>
      </c>
      <c r="AB345" s="227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27">
        <f>IFERROR(_xlfn.XLOOKUP($D345,'Modelling New'!$D:$D,'Modelling New'!$T:$T)*1000,"")</f>
        <v>124131.0967036221</v>
      </c>
      <c r="AE345" s="234">
        <f>IFERROR(_xlfn.XLOOKUP($D345,'Modelling New'!$D:$D,'Modelling New'!$O:$O),"")</f>
        <v>0.74023536153896807</v>
      </c>
      <c r="AF345" s="234">
        <f>IFERROR(_xlfn.XLOOKUP($D345,'Modelling New'!$D:$D,'Modelling New'!$W:$W),"")</f>
        <v>0.21281766644245331</v>
      </c>
      <c r="AG345" s="234">
        <f>IFERROR(_xlfn.XLOOKUP($D345,'Modelling New'!$D:$D,'Modelling New'!AE:AE),"")</f>
        <v>0.995</v>
      </c>
      <c r="AH345" s="234">
        <v>0.99750000000000005</v>
      </c>
      <c r="AI345" s="6"/>
      <c r="AJ345" s="6"/>
      <c r="AK345" s="6"/>
      <c r="AL345" s="6"/>
      <c r="AM345" s="6"/>
      <c r="AN345" s="231"/>
      <c r="AO345" s="234"/>
      <c r="AP345" s="234"/>
      <c r="AQ345" s="234"/>
      <c r="AR345" s="227">
        <f>IFERROR(_xlfn.XLOOKUP($D345,'Modelling New'!$D:$D,'Modelling New'!$N:$N),"")</f>
        <v>24.303100000000001</v>
      </c>
      <c r="AS345" s="227"/>
    </row>
    <row r="346" spans="1:45" x14ac:dyDescent="0.35">
      <c r="A346" s="226">
        <f t="shared" si="26"/>
        <v>46089</v>
      </c>
      <c r="B346" s="227">
        <f>YEAR(Daily_KPI[[#This Row],[Date]])+IF(MONTH(Daily_KPI[[#This Row],[Date]])&gt;=4,1,0)</f>
        <v>2026</v>
      </c>
      <c r="C346" s="6">
        <f>YEAR(Daily_KPI[[#This Row],[Date]])</f>
        <v>2026</v>
      </c>
      <c r="D346" s="228">
        <f>Daily_KPI[[#This Row],[Date]]-DAY(Daily_KPI[[#This Row],[Date]])+1</f>
        <v>46082</v>
      </c>
      <c r="E346" s="6">
        <f t="shared" si="24"/>
        <v>31</v>
      </c>
      <c r="F346" s="229" t="str">
        <f>IFERROR(_xlfn.XLOOKUP($A346,'Raw Data'!$A:$A,'Raw Data'!$BR:$BR),"")</f>
        <v/>
      </c>
      <c r="G346" s="230" t="str">
        <f>IFERROR(_xlfn.XLOOKUP($A346,'Raw Data'!$A:$A,'Raw Data'!$AO:$AO),"")</f>
        <v/>
      </c>
      <c r="H346" s="230"/>
      <c r="I346" s="230" t="str">
        <f>IFERROR(_xlfn.XLOOKUP($A346,'Raw Data'!$A:$A,'Raw Data'!$AR:$AR),"")</f>
        <v/>
      </c>
      <c r="J346" s="230"/>
      <c r="K346" s="230" t="str">
        <f>IFERROR(_xlfn.XLOOKUP($A346,'Raw Data'!$A:$A,'Raw Data'!$AV:$AV),"")</f>
        <v/>
      </c>
      <c r="L346" s="230" t="str">
        <f>IFERROR(_xlfn.XLOOKUP($A346,'Raw Data'!$A:$A,'Raw Data'!$AW:$AW),"")</f>
        <v/>
      </c>
      <c r="M346" s="230" t="str">
        <f>IFERROR(_xlfn.XLOOKUP($A346,'Raw Data'!$A:$A,'Raw Data'!$AX:$AX),"")</f>
        <v/>
      </c>
      <c r="N346" s="230" t="str">
        <f>IFERROR(_xlfn.XLOOKUP($A346,'Raw Data'!$A:$A,'Raw Data'!$AY:$AY),"")</f>
        <v/>
      </c>
      <c r="O346" s="231" t="str">
        <f>IFERROR(1-(SUMIF('Plant BD'!$B:$B,A346,'Plant BD'!$AE:$AE)/(AA346+SUMIF('Plant BD'!$B:$B,A346,'Plant BD'!$AE:$AE))),"")</f>
        <v/>
      </c>
      <c r="P346" s="231"/>
      <c r="Q346" s="232"/>
      <c r="R346" s="231" t="str">
        <f>IFERROR(1-(SUMIF('Grid BD'!$B:$B,$A346,'Grid BD'!$AD:$AD)/($AA346+SUMIF('Grid BD'!$B:$B,$A346,'Grid BD'!AD:AD))),"")</f>
        <v/>
      </c>
      <c r="S346" s="6"/>
      <c r="T346" s="232"/>
      <c r="U346" s="233" t="str">
        <f t="shared" si="25"/>
        <v/>
      </c>
      <c r="V346" s="233"/>
      <c r="W346" s="234" t="str">
        <f t="shared" si="23"/>
        <v/>
      </c>
      <c r="X346" s="227" t="str">
        <f>IFERROR(_xlfn.XLOOKUP($A346,'Raw Data'!$A:$A,'Raw Data'!$BA:$BA),"")</f>
        <v/>
      </c>
      <c r="Y346" s="227" t="str">
        <f>IFERROR(_xlfn.XLOOKUP($A346,'Raw Data'!$A:$A,'Raw Data'!BJ:BJ),"")</f>
        <v/>
      </c>
      <c r="Z346" s="227" t="str">
        <f>IFERROR(_xlfn.XLOOKUP($A346,'Raw Data'!$A:$A,'Raw Data'!BK:BK),"")</f>
        <v/>
      </c>
      <c r="AA346" s="227" t="str">
        <f>IFERROR(_xlfn.XLOOKUP($A346,'Raw Data'!$A:$A,'Raw Data'!BL:BL),"")</f>
        <v/>
      </c>
      <c r="AB346" s="227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27">
        <f>IFERROR(_xlfn.XLOOKUP($D346,'Modelling New'!$D:$D,'Modelling New'!$T:$T)*1000,"")</f>
        <v>124131.0967036221</v>
      </c>
      <c r="AE346" s="234">
        <f>IFERROR(_xlfn.XLOOKUP($D346,'Modelling New'!$D:$D,'Modelling New'!$O:$O),"")</f>
        <v>0.74023536153896807</v>
      </c>
      <c r="AF346" s="234">
        <f>IFERROR(_xlfn.XLOOKUP($D346,'Modelling New'!$D:$D,'Modelling New'!$W:$W),"")</f>
        <v>0.21281766644245331</v>
      </c>
      <c r="AG346" s="234">
        <f>IFERROR(_xlfn.XLOOKUP($D346,'Modelling New'!$D:$D,'Modelling New'!AE:AE),"")</f>
        <v>0.995</v>
      </c>
      <c r="AH346" s="234">
        <v>0.99750000000000005</v>
      </c>
      <c r="AI346" s="6"/>
      <c r="AJ346" s="6"/>
      <c r="AK346" s="6"/>
      <c r="AL346" s="6"/>
      <c r="AM346" s="6"/>
      <c r="AN346" s="231"/>
      <c r="AO346" s="234"/>
      <c r="AP346" s="234"/>
      <c r="AQ346" s="234"/>
      <c r="AR346" s="227">
        <f>IFERROR(_xlfn.XLOOKUP($D346,'Modelling New'!$D:$D,'Modelling New'!$N:$N),"")</f>
        <v>24.303100000000001</v>
      </c>
      <c r="AS346" s="227"/>
    </row>
    <row r="347" spans="1:45" x14ac:dyDescent="0.35">
      <c r="A347" s="226">
        <f t="shared" si="26"/>
        <v>46090</v>
      </c>
      <c r="B347" s="227">
        <f>YEAR(Daily_KPI[[#This Row],[Date]])+IF(MONTH(Daily_KPI[[#This Row],[Date]])&gt;=4,1,0)</f>
        <v>2026</v>
      </c>
      <c r="C347" s="6">
        <f>YEAR(Daily_KPI[[#This Row],[Date]])</f>
        <v>2026</v>
      </c>
      <c r="D347" s="228">
        <f>Daily_KPI[[#This Row],[Date]]-DAY(Daily_KPI[[#This Row],[Date]])+1</f>
        <v>46082</v>
      </c>
      <c r="E347" s="6">
        <f t="shared" si="24"/>
        <v>31</v>
      </c>
      <c r="F347" s="229" t="str">
        <f>IFERROR(_xlfn.XLOOKUP($A347,'Raw Data'!$A:$A,'Raw Data'!$BR:$BR),"")</f>
        <v/>
      </c>
      <c r="G347" s="230" t="str">
        <f>IFERROR(_xlfn.XLOOKUP($A347,'Raw Data'!$A:$A,'Raw Data'!$AO:$AO),"")</f>
        <v/>
      </c>
      <c r="H347" s="230"/>
      <c r="I347" s="230" t="str">
        <f>IFERROR(_xlfn.XLOOKUP($A347,'Raw Data'!$A:$A,'Raw Data'!$AR:$AR),"")</f>
        <v/>
      </c>
      <c r="J347" s="230"/>
      <c r="K347" s="230" t="str">
        <f>IFERROR(_xlfn.XLOOKUP($A347,'Raw Data'!$A:$A,'Raw Data'!$AV:$AV),"")</f>
        <v/>
      </c>
      <c r="L347" s="230" t="str">
        <f>IFERROR(_xlfn.XLOOKUP($A347,'Raw Data'!$A:$A,'Raw Data'!$AW:$AW),"")</f>
        <v/>
      </c>
      <c r="M347" s="230" t="str">
        <f>IFERROR(_xlfn.XLOOKUP($A347,'Raw Data'!$A:$A,'Raw Data'!$AX:$AX),"")</f>
        <v/>
      </c>
      <c r="N347" s="230" t="str">
        <f>IFERROR(_xlfn.XLOOKUP($A347,'Raw Data'!$A:$A,'Raw Data'!$AY:$AY),"")</f>
        <v/>
      </c>
      <c r="O347" s="231" t="str">
        <f>IFERROR(1-(SUMIF('Plant BD'!$B:$B,A347,'Plant BD'!$AE:$AE)/(AA347+SUMIF('Plant BD'!$B:$B,A347,'Plant BD'!$AE:$AE))),"")</f>
        <v/>
      </c>
      <c r="P347" s="231"/>
      <c r="Q347" s="232"/>
      <c r="R347" s="231" t="str">
        <f>IFERROR(1-(SUMIF('Grid BD'!$B:$B,$A347,'Grid BD'!$AD:$AD)/($AA347+SUMIF('Grid BD'!$B:$B,$A347,'Grid BD'!AD:AD))),"")</f>
        <v/>
      </c>
      <c r="S347" s="6"/>
      <c r="T347" s="232"/>
      <c r="U347" s="233" t="str">
        <f t="shared" si="25"/>
        <v/>
      </c>
      <c r="V347" s="233"/>
      <c r="W347" s="234" t="str">
        <f t="shared" si="23"/>
        <v/>
      </c>
      <c r="X347" s="227" t="str">
        <f>IFERROR(_xlfn.XLOOKUP($A347,'Raw Data'!$A:$A,'Raw Data'!$BA:$BA),"")</f>
        <v/>
      </c>
      <c r="Y347" s="227" t="str">
        <f>IFERROR(_xlfn.XLOOKUP($A347,'Raw Data'!$A:$A,'Raw Data'!BJ:BJ),"")</f>
        <v/>
      </c>
      <c r="Z347" s="227" t="str">
        <f>IFERROR(_xlfn.XLOOKUP($A347,'Raw Data'!$A:$A,'Raw Data'!BK:BK),"")</f>
        <v/>
      </c>
      <c r="AA347" s="227" t="str">
        <f>IFERROR(_xlfn.XLOOKUP($A347,'Raw Data'!$A:$A,'Raw Data'!BL:BL),"")</f>
        <v/>
      </c>
      <c r="AB347" s="227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27">
        <f>IFERROR(_xlfn.XLOOKUP($D347,'Modelling New'!$D:$D,'Modelling New'!$T:$T)*1000,"")</f>
        <v>124131.0967036221</v>
      </c>
      <c r="AE347" s="234">
        <f>IFERROR(_xlfn.XLOOKUP($D347,'Modelling New'!$D:$D,'Modelling New'!$O:$O),"")</f>
        <v>0.74023536153896807</v>
      </c>
      <c r="AF347" s="234">
        <f>IFERROR(_xlfn.XLOOKUP($D347,'Modelling New'!$D:$D,'Modelling New'!$W:$W),"")</f>
        <v>0.21281766644245331</v>
      </c>
      <c r="AG347" s="234">
        <f>IFERROR(_xlfn.XLOOKUP($D347,'Modelling New'!$D:$D,'Modelling New'!AE:AE),"")</f>
        <v>0.995</v>
      </c>
      <c r="AH347" s="234">
        <v>0.99750000000000005</v>
      </c>
      <c r="AI347" s="6"/>
      <c r="AJ347" s="6"/>
      <c r="AK347" s="6"/>
      <c r="AL347" s="6"/>
      <c r="AM347" s="6"/>
      <c r="AN347" s="231"/>
      <c r="AO347" s="234"/>
      <c r="AP347" s="234"/>
      <c r="AQ347" s="234"/>
      <c r="AR347" s="227">
        <f>IFERROR(_xlfn.XLOOKUP($D347,'Modelling New'!$D:$D,'Modelling New'!$N:$N),"")</f>
        <v>24.303100000000001</v>
      </c>
      <c r="AS347" s="227"/>
    </row>
    <row r="348" spans="1:45" x14ac:dyDescent="0.35">
      <c r="A348" s="226">
        <f t="shared" si="26"/>
        <v>46091</v>
      </c>
      <c r="B348" s="227">
        <f>YEAR(Daily_KPI[[#This Row],[Date]])+IF(MONTH(Daily_KPI[[#This Row],[Date]])&gt;=4,1,0)</f>
        <v>2026</v>
      </c>
      <c r="C348" s="6">
        <f>YEAR(Daily_KPI[[#This Row],[Date]])</f>
        <v>2026</v>
      </c>
      <c r="D348" s="228">
        <f>Daily_KPI[[#This Row],[Date]]-DAY(Daily_KPI[[#This Row],[Date]])+1</f>
        <v>46082</v>
      </c>
      <c r="E348" s="6">
        <f t="shared" si="24"/>
        <v>31</v>
      </c>
      <c r="F348" s="229" t="str">
        <f>IFERROR(_xlfn.XLOOKUP($A348,'Raw Data'!$A:$A,'Raw Data'!$BR:$BR),"")</f>
        <v/>
      </c>
      <c r="G348" s="230" t="str">
        <f>IFERROR(_xlfn.XLOOKUP($A348,'Raw Data'!$A:$A,'Raw Data'!$AO:$AO),"")</f>
        <v/>
      </c>
      <c r="H348" s="230"/>
      <c r="I348" s="230" t="str">
        <f>IFERROR(_xlfn.XLOOKUP($A348,'Raw Data'!$A:$A,'Raw Data'!$AR:$AR),"")</f>
        <v/>
      </c>
      <c r="J348" s="230"/>
      <c r="K348" s="230" t="str">
        <f>IFERROR(_xlfn.XLOOKUP($A348,'Raw Data'!$A:$A,'Raw Data'!$AV:$AV),"")</f>
        <v/>
      </c>
      <c r="L348" s="230" t="str">
        <f>IFERROR(_xlfn.XLOOKUP($A348,'Raw Data'!$A:$A,'Raw Data'!$AW:$AW),"")</f>
        <v/>
      </c>
      <c r="M348" s="230" t="str">
        <f>IFERROR(_xlfn.XLOOKUP($A348,'Raw Data'!$A:$A,'Raw Data'!$AX:$AX),"")</f>
        <v/>
      </c>
      <c r="N348" s="230" t="str">
        <f>IFERROR(_xlfn.XLOOKUP($A348,'Raw Data'!$A:$A,'Raw Data'!$AY:$AY),"")</f>
        <v/>
      </c>
      <c r="O348" s="231" t="str">
        <f>IFERROR(1-(SUMIF('Plant BD'!$B:$B,A348,'Plant BD'!$AE:$AE)/(AA348+SUMIF('Plant BD'!$B:$B,A348,'Plant BD'!$AE:$AE))),"")</f>
        <v/>
      </c>
      <c r="P348" s="231"/>
      <c r="Q348" s="232"/>
      <c r="R348" s="231" t="str">
        <f>IFERROR(1-(SUMIF('Grid BD'!$B:$B,$A348,'Grid BD'!$AD:$AD)/($AA348+SUMIF('Grid BD'!$B:$B,$A348,'Grid BD'!AD:AD))),"")</f>
        <v/>
      </c>
      <c r="S348" s="6"/>
      <c r="T348" s="232"/>
      <c r="U348" s="233" t="str">
        <f t="shared" si="25"/>
        <v/>
      </c>
      <c r="V348" s="233"/>
      <c r="W348" s="234" t="str">
        <f t="shared" si="23"/>
        <v/>
      </c>
      <c r="X348" s="227" t="str">
        <f>IFERROR(_xlfn.XLOOKUP($A348,'Raw Data'!$A:$A,'Raw Data'!$BA:$BA),"")</f>
        <v/>
      </c>
      <c r="Y348" s="227" t="str">
        <f>IFERROR(_xlfn.XLOOKUP($A348,'Raw Data'!$A:$A,'Raw Data'!BJ:BJ),"")</f>
        <v/>
      </c>
      <c r="Z348" s="227" t="str">
        <f>IFERROR(_xlfn.XLOOKUP($A348,'Raw Data'!$A:$A,'Raw Data'!BK:BK),"")</f>
        <v/>
      </c>
      <c r="AA348" s="227" t="str">
        <f>IFERROR(_xlfn.XLOOKUP($A348,'Raw Data'!$A:$A,'Raw Data'!BL:BL),"")</f>
        <v/>
      </c>
      <c r="AB348" s="227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27">
        <f>IFERROR(_xlfn.XLOOKUP($D348,'Modelling New'!$D:$D,'Modelling New'!$T:$T)*1000,"")</f>
        <v>124131.0967036221</v>
      </c>
      <c r="AE348" s="234">
        <f>IFERROR(_xlfn.XLOOKUP($D348,'Modelling New'!$D:$D,'Modelling New'!$O:$O),"")</f>
        <v>0.74023536153896807</v>
      </c>
      <c r="AF348" s="234">
        <f>IFERROR(_xlfn.XLOOKUP($D348,'Modelling New'!$D:$D,'Modelling New'!$W:$W),"")</f>
        <v>0.21281766644245331</v>
      </c>
      <c r="AG348" s="234">
        <f>IFERROR(_xlfn.XLOOKUP($D348,'Modelling New'!$D:$D,'Modelling New'!AE:AE),"")</f>
        <v>0.995</v>
      </c>
      <c r="AH348" s="234">
        <v>0.99750000000000005</v>
      </c>
      <c r="AI348" s="6"/>
      <c r="AJ348" s="6"/>
      <c r="AK348" s="6"/>
      <c r="AL348" s="6"/>
      <c r="AM348" s="6"/>
      <c r="AN348" s="231"/>
      <c r="AO348" s="234"/>
      <c r="AP348" s="234"/>
      <c r="AQ348" s="234"/>
      <c r="AR348" s="227">
        <f>IFERROR(_xlfn.XLOOKUP($D348,'Modelling New'!$D:$D,'Modelling New'!$N:$N),"")</f>
        <v>24.303100000000001</v>
      </c>
      <c r="AS348" s="227"/>
    </row>
    <row r="349" spans="1:45" x14ac:dyDescent="0.35">
      <c r="A349" s="226">
        <f t="shared" si="26"/>
        <v>46092</v>
      </c>
      <c r="B349" s="227">
        <f>YEAR(Daily_KPI[[#This Row],[Date]])+IF(MONTH(Daily_KPI[[#This Row],[Date]])&gt;=4,1,0)</f>
        <v>2026</v>
      </c>
      <c r="C349" s="6">
        <f>YEAR(Daily_KPI[[#This Row],[Date]])</f>
        <v>2026</v>
      </c>
      <c r="D349" s="228">
        <f>Daily_KPI[[#This Row],[Date]]-DAY(Daily_KPI[[#This Row],[Date]])+1</f>
        <v>46082</v>
      </c>
      <c r="E349" s="6">
        <f t="shared" si="24"/>
        <v>31</v>
      </c>
      <c r="F349" s="229" t="str">
        <f>IFERROR(_xlfn.XLOOKUP($A349,'Raw Data'!$A:$A,'Raw Data'!$BR:$BR),"")</f>
        <v/>
      </c>
      <c r="G349" s="230" t="str">
        <f>IFERROR(_xlfn.XLOOKUP($A349,'Raw Data'!$A:$A,'Raw Data'!$AO:$AO),"")</f>
        <v/>
      </c>
      <c r="H349" s="230"/>
      <c r="I349" s="230" t="str">
        <f>IFERROR(_xlfn.XLOOKUP($A349,'Raw Data'!$A:$A,'Raw Data'!$AR:$AR),"")</f>
        <v/>
      </c>
      <c r="J349" s="230"/>
      <c r="K349" s="230" t="str">
        <f>IFERROR(_xlfn.XLOOKUP($A349,'Raw Data'!$A:$A,'Raw Data'!$AV:$AV),"")</f>
        <v/>
      </c>
      <c r="L349" s="230" t="str">
        <f>IFERROR(_xlfn.XLOOKUP($A349,'Raw Data'!$A:$A,'Raw Data'!$AW:$AW),"")</f>
        <v/>
      </c>
      <c r="M349" s="230" t="str">
        <f>IFERROR(_xlfn.XLOOKUP($A349,'Raw Data'!$A:$A,'Raw Data'!$AX:$AX),"")</f>
        <v/>
      </c>
      <c r="N349" s="230" t="str">
        <f>IFERROR(_xlfn.XLOOKUP($A349,'Raw Data'!$A:$A,'Raw Data'!$AY:$AY),"")</f>
        <v/>
      </c>
      <c r="O349" s="231" t="str">
        <f>IFERROR(1-(SUMIF('Plant BD'!$B:$B,A349,'Plant BD'!$AE:$AE)/(AA349+SUMIF('Plant BD'!$B:$B,A349,'Plant BD'!$AE:$AE))),"")</f>
        <v/>
      </c>
      <c r="P349" s="231"/>
      <c r="Q349" s="232"/>
      <c r="R349" s="231" t="str">
        <f>IFERROR(1-(SUMIF('Grid BD'!$B:$B,$A349,'Grid BD'!$AD:$AD)/($AA349+SUMIF('Grid BD'!$B:$B,$A349,'Grid BD'!AD:AD))),"")</f>
        <v/>
      </c>
      <c r="S349" s="6"/>
      <c r="T349" s="232"/>
      <c r="U349" s="233" t="str">
        <f t="shared" si="25"/>
        <v/>
      </c>
      <c r="V349" s="233"/>
      <c r="W349" s="234" t="str">
        <f t="shared" si="23"/>
        <v/>
      </c>
      <c r="X349" s="227" t="str">
        <f>IFERROR(_xlfn.XLOOKUP($A349,'Raw Data'!$A:$A,'Raw Data'!$BA:$BA),"")</f>
        <v/>
      </c>
      <c r="Y349" s="227" t="str">
        <f>IFERROR(_xlfn.XLOOKUP($A349,'Raw Data'!$A:$A,'Raw Data'!BJ:BJ),"")</f>
        <v/>
      </c>
      <c r="Z349" s="227" t="str">
        <f>IFERROR(_xlfn.XLOOKUP($A349,'Raw Data'!$A:$A,'Raw Data'!BK:BK),"")</f>
        <v/>
      </c>
      <c r="AA349" s="227" t="str">
        <f>IFERROR(_xlfn.XLOOKUP($A349,'Raw Data'!$A:$A,'Raw Data'!BL:BL),"")</f>
        <v/>
      </c>
      <c r="AB349" s="227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27">
        <f>IFERROR(_xlfn.XLOOKUP($D349,'Modelling New'!$D:$D,'Modelling New'!$T:$T)*1000,"")</f>
        <v>124131.0967036221</v>
      </c>
      <c r="AE349" s="234">
        <f>IFERROR(_xlfn.XLOOKUP($D349,'Modelling New'!$D:$D,'Modelling New'!$O:$O),"")</f>
        <v>0.74023536153896807</v>
      </c>
      <c r="AF349" s="234">
        <f>IFERROR(_xlfn.XLOOKUP($D349,'Modelling New'!$D:$D,'Modelling New'!$W:$W),"")</f>
        <v>0.21281766644245331</v>
      </c>
      <c r="AG349" s="234">
        <f>IFERROR(_xlfn.XLOOKUP($D349,'Modelling New'!$D:$D,'Modelling New'!AE:AE),"")</f>
        <v>0.995</v>
      </c>
      <c r="AH349" s="234">
        <v>0.99750000000000005</v>
      </c>
      <c r="AI349" s="6"/>
      <c r="AJ349" s="6"/>
      <c r="AK349" s="6"/>
      <c r="AL349" s="6"/>
      <c r="AM349" s="6"/>
      <c r="AN349" s="231"/>
      <c r="AO349" s="234"/>
      <c r="AP349" s="234"/>
      <c r="AQ349" s="234"/>
      <c r="AR349" s="227">
        <f>IFERROR(_xlfn.XLOOKUP($D349,'Modelling New'!$D:$D,'Modelling New'!$N:$N),"")</f>
        <v>24.303100000000001</v>
      </c>
      <c r="AS349" s="227"/>
    </row>
    <row r="350" spans="1:45" x14ac:dyDescent="0.35">
      <c r="A350" s="226">
        <f t="shared" si="26"/>
        <v>46093</v>
      </c>
      <c r="B350" s="227">
        <f>YEAR(Daily_KPI[[#This Row],[Date]])+IF(MONTH(Daily_KPI[[#This Row],[Date]])&gt;=4,1,0)</f>
        <v>2026</v>
      </c>
      <c r="C350" s="6">
        <f>YEAR(Daily_KPI[[#This Row],[Date]])</f>
        <v>2026</v>
      </c>
      <c r="D350" s="228">
        <f>Daily_KPI[[#This Row],[Date]]-DAY(Daily_KPI[[#This Row],[Date]])+1</f>
        <v>46082</v>
      </c>
      <c r="E350" s="6">
        <f t="shared" si="24"/>
        <v>31</v>
      </c>
      <c r="F350" s="229" t="str">
        <f>IFERROR(_xlfn.XLOOKUP($A350,'Raw Data'!$A:$A,'Raw Data'!$BR:$BR),"")</f>
        <v/>
      </c>
      <c r="G350" s="230" t="str">
        <f>IFERROR(_xlfn.XLOOKUP($A350,'Raw Data'!$A:$A,'Raw Data'!$AO:$AO),"")</f>
        <v/>
      </c>
      <c r="H350" s="230"/>
      <c r="I350" s="230" t="str">
        <f>IFERROR(_xlfn.XLOOKUP($A350,'Raw Data'!$A:$A,'Raw Data'!$AR:$AR),"")</f>
        <v/>
      </c>
      <c r="J350" s="230"/>
      <c r="K350" s="230" t="str">
        <f>IFERROR(_xlfn.XLOOKUP($A350,'Raw Data'!$A:$A,'Raw Data'!$AV:$AV),"")</f>
        <v/>
      </c>
      <c r="L350" s="230" t="str">
        <f>IFERROR(_xlfn.XLOOKUP($A350,'Raw Data'!$A:$A,'Raw Data'!$AW:$AW),"")</f>
        <v/>
      </c>
      <c r="M350" s="230" t="str">
        <f>IFERROR(_xlfn.XLOOKUP($A350,'Raw Data'!$A:$A,'Raw Data'!$AX:$AX),"")</f>
        <v/>
      </c>
      <c r="N350" s="230" t="str">
        <f>IFERROR(_xlfn.XLOOKUP($A350,'Raw Data'!$A:$A,'Raw Data'!$AY:$AY),"")</f>
        <v/>
      </c>
      <c r="O350" s="231" t="str">
        <f>IFERROR(1-(SUMIF('Plant BD'!$B:$B,A350,'Plant BD'!$AE:$AE)/(AA350+SUMIF('Plant BD'!$B:$B,A350,'Plant BD'!$AE:$AE))),"")</f>
        <v/>
      </c>
      <c r="P350" s="231"/>
      <c r="Q350" s="232"/>
      <c r="R350" s="231" t="str">
        <f>IFERROR(1-(SUMIF('Grid BD'!$B:$B,$A350,'Grid BD'!$AD:$AD)/($AA350+SUMIF('Grid BD'!$B:$B,$A350,'Grid BD'!AD:AD))),"")</f>
        <v/>
      </c>
      <c r="S350" s="6"/>
      <c r="T350" s="232"/>
      <c r="U350" s="233" t="str">
        <f t="shared" si="25"/>
        <v/>
      </c>
      <c r="V350" s="233"/>
      <c r="W350" s="234" t="str">
        <f t="shared" si="23"/>
        <v/>
      </c>
      <c r="X350" s="227" t="str">
        <f>IFERROR(_xlfn.XLOOKUP($A350,'Raw Data'!$A:$A,'Raw Data'!$BA:$BA),"")</f>
        <v/>
      </c>
      <c r="Y350" s="227" t="str">
        <f>IFERROR(_xlfn.XLOOKUP($A350,'Raw Data'!$A:$A,'Raw Data'!BJ:BJ),"")</f>
        <v/>
      </c>
      <c r="Z350" s="227" t="str">
        <f>IFERROR(_xlfn.XLOOKUP($A350,'Raw Data'!$A:$A,'Raw Data'!BK:BK),"")</f>
        <v/>
      </c>
      <c r="AA350" s="227" t="str">
        <f>IFERROR(_xlfn.XLOOKUP($A350,'Raw Data'!$A:$A,'Raw Data'!BL:BL),"")</f>
        <v/>
      </c>
      <c r="AB350" s="227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27">
        <f>IFERROR(_xlfn.XLOOKUP($D350,'Modelling New'!$D:$D,'Modelling New'!$T:$T)*1000,"")</f>
        <v>124131.0967036221</v>
      </c>
      <c r="AE350" s="234">
        <f>IFERROR(_xlfn.XLOOKUP($D350,'Modelling New'!$D:$D,'Modelling New'!$O:$O),"")</f>
        <v>0.74023536153896807</v>
      </c>
      <c r="AF350" s="234">
        <f>IFERROR(_xlfn.XLOOKUP($D350,'Modelling New'!$D:$D,'Modelling New'!$W:$W),"")</f>
        <v>0.21281766644245331</v>
      </c>
      <c r="AG350" s="234">
        <f>IFERROR(_xlfn.XLOOKUP($D350,'Modelling New'!$D:$D,'Modelling New'!AE:AE),"")</f>
        <v>0.995</v>
      </c>
      <c r="AH350" s="234">
        <v>0.99750000000000005</v>
      </c>
      <c r="AI350" s="6"/>
      <c r="AJ350" s="6"/>
      <c r="AK350" s="6"/>
      <c r="AL350" s="6"/>
      <c r="AM350" s="6"/>
      <c r="AN350" s="231"/>
      <c r="AO350" s="234"/>
      <c r="AP350" s="234"/>
      <c r="AQ350" s="234"/>
      <c r="AR350" s="227">
        <f>IFERROR(_xlfn.XLOOKUP($D350,'Modelling New'!$D:$D,'Modelling New'!$N:$N),"")</f>
        <v>24.303100000000001</v>
      </c>
      <c r="AS350" s="227"/>
    </row>
    <row r="351" spans="1:45" x14ac:dyDescent="0.35">
      <c r="A351" s="226">
        <f t="shared" si="26"/>
        <v>46094</v>
      </c>
      <c r="B351" s="227">
        <f>YEAR(Daily_KPI[[#This Row],[Date]])+IF(MONTH(Daily_KPI[[#This Row],[Date]])&gt;=4,1,0)</f>
        <v>2026</v>
      </c>
      <c r="C351" s="6">
        <f>YEAR(Daily_KPI[[#This Row],[Date]])</f>
        <v>2026</v>
      </c>
      <c r="D351" s="228">
        <f>Daily_KPI[[#This Row],[Date]]-DAY(Daily_KPI[[#This Row],[Date]])+1</f>
        <v>46082</v>
      </c>
      <c r="E351" s="6">
        <f t="shared" si="24"/>
        <v>31</v>
      </c>
      <c r="F351" s="229" t="str">
        <f>IFERROR(_xlfn.XLOOKUP($A351,'Raw Data'!$A:$A,'Raw Data'!$BR:$BR),"")</f>
        <v/>
      </c>
      <c r="G351" s="230" t="str">
        <f>IFERROR(_xlfn.XLOOKUP($A351,'Raw Data'!$A:$A,'Raw Data'!$AO:$AO),"")</f>
        <v/>
      </c>
      <c r="H351" s="230"/>
      <c r="I351" s="230" t="str">
        <f>IFERROR(_xlfn.XLOOKUP($A351,'Raw Data'!$A:$A,'Raw Data'!$AR:$AR),"")</f>
        <v/>
      </c>
      <c r="J351" s="230"/>
      <c r="K351" s="230" t="str">
        <f>IFERROR(_xlfn.XLOOKUP($A351,'Raw Data'!$A:$A,'Raw Data'!$AV:$AV),"")</f>
        <v/>
      </c>
      <c r="L351" s="230" t="str">
        <f>IFERROR(_xlfn.XLOOKUP($A351,'Raw Data'!$A:$A,'Raw Data'!$AW:$AW),"")</f>
        <v/>
      </c>
      <c r="M351" s="230" t="str">
        <f>IFERROR(_xlfn.XLOOKUP($A351,'Raw Data'!$A:$A,'Raw Data'!$AX:$AX),"")</f>
        <v/>
      </c>
      <c r="N351" s="230" t="str">
        <f>IFERROR(_xlfn.XLOOKUP($A351,'Raw Data'!$A:$A,'Raw Data'!$AY:$AY),"")</f>
        <v/>
      </c>
      <c r="O351" s="231" t="str">
        <f>IFERROR(1-(SUMIF('Plant BD'!$B:$B,A351,'Plant BD'!$AE:$AE)/(AA351+SUMIF('Plant BD'!$B:$B,A351,'Plant BD'!$AE:$AE))),"")</f>
        <v/>
      </c>
      <c r="P351" s="231"/>
      <c r="Q351" s="232"/>
      <c r="R351" s="231" t="str">
        <f>IFERROR(1-(SUMIF('Grid BD'!$B:$B,$A351,'Grid BD'!$AD:$AD)/($AA351+SUMIF('Grid BD'!$B:$B,$A351,'Grid BD'!AD:AD))),"")</f>
        <v/>
      </c>
      <c r="S351" s="6"/>
      <c r="T351" s="232"/>
      <c r="U351" s="233" t="str">
        <f t="shared" si="25"/>
        <v/>
      </c>
      <c r="V351" s="233"/>
      <c r="W351" s="234" t="str">
        <f t="shared" si="23"/>
        <v/>
      </c>
      <c r="X351" s="227" t="str">
        <f>IFERROR(_xlfn.XLOOKUP($A351,'Raw Data'!$A:$A,'Raw Data'!$BA:$BA),"")</f>
        <v/>
      </c>
      <c r="Y351" s="227" t="str">
        <f>IFERROR(_xlfn.XLOOKUP($A351,'Raw Data'!$A:$A,'Raw Data'!BJ:BJ),"")</f>
        <v/>
      </c>
      <c r="Z351" s="227" t="str">
        <f>IFERROR(_xlfn.XLOOKUP($A351,'Raw Data'!$A:$A,'Raw Data'!BK:BK),"")</f>
        <v/>
      </c>
      <c r="AA351" s="227" t="str">
        <f>IFERROR(_xlfn.XLOOKUP($A351,'Raw Data'!$A:$A,'Raw Data'!BL:BL),"")</f>
        <v/>
      </c>
      <c r="AB351" s="227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27">
        <f>IFERROR(_xlfn.XLOOKUP($D351,'Modelling New'!$D:$D,'Modelling New'!$T:$T)*1000,"")</f>
        <v>124131.0967036221</v>
      </c>
      <c r="AE351" s="234">
        <f>IFERROR(_xlfn.XLOOKUP($D351,'Modelling New'!$D:$D,'Modelling New'!$O:$O),"")</f>
        <v>0.74023536153896807</v>
      </c>
      <c r="AF351" s="234">
        <f>IFERROR(_xlfn.XLOOKUP($D351,'Modelling New'!$D:$D,'Modelling New'!$W:$W),"")</f>
        <v>0.21281766644245331</v>
      </c>
      <c r="AG351" s="234">
        <f>IFERROR(_xlfn.XLOOKUP($D351,'Modelling New'!$D:$D,'Modelling New'!AE:AE),"")</f>
        <v>0.995</v>
      </c>
      <c r="AH351" s="234">
        <v>0.99750000000000005</v>
      </c>
      <c r="AI351" s="6"/>
      <c r="AJ351" s="6"/>
      <c r="AK351" s="6"/>
      <c r="AL351" s="6"/>
      <c r="AM351" s="6"/>
      <c r="AN351" s="231"/>
      <c r="AO351" s="234"/>
      <c r="AP351" s="234"/>
      <c r="AQ351" s="234"/>
      <c r="AR351" s="227">
        <f>IFERROR(_xlfn.XLOOKUP($D351,'Modelling New'!$D:$D,'Modelling New'!$N:$N),"")</f>
        <v>24.303100000000001</v>
      </c>
      <c r="AS351" s="227"/>
    </row>
    <row r="352" spans="1:45" x14ac:dyDescent="0.35">
      <c r="A352" s="226">
        <f t="shared" si="26"/>
        <v>46095</v>
      </c>
      <c r="B352" s="227">
        <f>YEAR(Daily_KPI[[#This Row],[Date]])+IF(MONTH(Daily_KPI[[#This Row],[Date]])&gt;=4,1,0)</f>
        <v>2026</v>
      </c>
      <c r="C352" s="6">
        <f>YEAR(Daily_KPI[[#This Row],[Date]])</f>
        <v>2026</v>
      </c>
      <c r="D352" s="228">
        <f>Daily_KPI[[#This Row],[Date]]-DAY(Daily_KPI[[#This Row],[Date]])+1</f>
        <v>46082</v>
      </c>
      <c r="E352" s="6">
        <f t="shared" si="24"/>
        <v>31</v>
      </c>
      <c r="F352" s="229" t="str">
        <f>IFERROR(_xlfn.XLOOKUP($A352,'Raw Data'!$A:$A,'Raw Data'!$BR:$BR),"")</f>
        <v/>
      </c>
      <c r="G352" s="230" t="str">
        <f>IFERROR(_xlfn.XLOOKUP($A352,'Raw Data'!$A:$A,'Raw Data'!$AO:$AO),"")</f>
        <v/>
      </c>
      <c r="H352" s="230"/>
      <c r="I352" s="230" t="str">
        <f>IFERROR(_xlfn.XLOOKUP($A352,'Raw Data'!$A:$A,'Raw Data'!$AR:$AR),"")</f>
        <v/>
      </c>
      <c r="J352" s="230"/>
      <c r="K352" s="230" t="str">
        <f>IFERROR(_xlfn.XLOOKUP($A352,'Raw Data'!$A:$A,'Raw Data'!$AV:$AV),"")</f>
        <v/>
      </c>
      <c r="L352" s="230" t="str">
        <f>IFERROR(_xlfn.XLOOKUP($A352,'Raw Data'!$A:$A,'Raw Data'!$AW:$AW),"")</f>
        <v/>
      </c>
      <c r="M352" s="230" t="str">
        <f>IFERROR(_xlfn.XLOOKUP($A352,'Raw Data'!$A:$A,'Raw Data'!$AX:$AX),"")</f>
        <v/>
      </c>
      <c r="N352" s="230" t="str">
        <f>IFERROR(_xlfn.XLOOKUP($A352,'Raw Data'!$A:$A,'Raw Data'!$AY:$AY),"")</f>
        <v/>
      </c>
      <c r="O352" s="231" t="str">
        <f>IFERROR(1-(SUMIF('Plant BD'!$B:$B,A352,'Plant BD'!$AE:$AE)/(AA352+SUMIF('Plant BD'!$B:$B,A352,'Plant BD'!$AE:$AE))),"")</f>
        <v/>
      </c>
      <c r="P352" s="231"/>
      <c r="Q352" s="232"/>
      <c r="R352" s="231" t="str">
        <f>IFERROR(1-(SUMIF('Grid BD'!$B:$B,$A352,'Grid BD'!$AD:$AD)/($AA352+SUMIF('Grid BD'!$B:$B,$A352,'Grid BD'!AD:AD))),"")</f>
        <v/>
      </c>
      <c r="S352" s="6"/>
      <c r="T352" s="232"/>
      <c r="U352" s="233" t="str">
        <f t="shared" si="25"/>
        <v/>
      </c>
      <c r="V352" s="233"/>
      <c r="W352" s="234" t="str">
        <f t="shared" si="23"/>
        <v/>
      </c>
      <c r="X352" s="227" t="str">
        <f>IFERROR(_xlfn.XLOOKUP($A352,'Raw Data'!$A:$A,'Raw Data'!$BA:$BA),"")</f>
        <v/>
      </c>
      <c r="Y352" s="227" t="str">
        <f>IFERROR(_xlfn.XLOOKUP($A352,'Raw Data'!$A:$A,'Raw Data'!BJ:BJ),"")</f>
        <v/>
      </c>
      <c r="Z352" s="227" t="str">
        <f>IFERROR(_xlfn.XLOOKUP($A352,'Raw Data'!$A:$A,'Raw Data'!BK:BK),"")</f>
        <v/>
      </c>
      <c r="AA352" s="227" t="str">
        <f>IFERROR(_xlfn.XLOOKUP($A352,'Raw Data'!$A:$A,'Raw Data'!BL:BL),"")</f>
        <v/>
      </c>
      <c r="AB352" s="227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27">
        <f>IFERROR(_xlfn.XLOOKUP($D352,'Modelling New'!$D:$D,'Modelling New'!$T:$T)*1000,"")</f>
        <v>124131.0967036221</v>
      </c>
      <c r="AE352" s="234">
        <f>IFERROR(_xlfn.XLOOKUP($D352,'Modelling New'!$D:$D,'Modelling New'!$O:$O),"")</f>
        <v>0.74023536153896807</v>
      </c>
      <c r="AF352" s="234">
        <f>IFERROR(_xlfn.XLOOKUP($D352,'Modelling New'!$D:$D,'Modelling New'!$W:$W),"")</f>
        <v>0.21281766644245331</v>
      </c>
      <c r="AG352" s="234">
        <f>IFERROR(_xlfn.XLOOKUP($D352,'Modelling New'!$D:$D,'Modelling New'!AE:AE),"")</f>
        <v>0.995</v>
      </c>
      <c r="AH352" s="234">
        <v>0.99750000000000005</v>
      </c>
      <c r="AI352" s="6"/>
      <c r="AJ352" s="6"/>
      <c r="AK352" s="6"/>
      <c r="AL352" s="6"/>
      <c r="AM352" s="6"/>
      <c r="AN352" s="231"/>
      <c r="AO352" s="234"/>
      <c r="AP352" s="234"/>
      <c r="AQ352" s="234"/>
      <c r="AR352" s="227">
        <f>IFERROR(_xlfn.XLOOKUP($D352,'Modelling New'!$D:$D,'Modelling New'!$N:$N),"")</f>
        <v>24.303100000000001</v>
      </c>
      <c r="AS352" s="227"/>
    </row>
    <row r="353" spans="1:45" x14ac:dyDescent="0.35">
      <c r="A353" s="226">
        <f t="shared" si="26"/>
        <v>46096</v>
      </c>
      <c r="B353" s="227">
        <f>YEAR(Daily_KPI[[#This Row],[Date]])+IF(MONTH(Daily_KPI[[#This Row],[Date]])&gt;=4,1,0)</f>
        <v>2026</v>
      </c>
      <c r="C353" s="6">
        <f>YEAR(Daily_KPI[[#This Row],[Date]])</f>
        <v>2026</v>
      </c>
      <c r="D353" s="228">
        <f>Daily_KPI[[#This Row],[Date]]-DAY(Daily_KPI[[#This Row],[Date]])+1</f>
        <v>46082</v>
      </c>
      <c r="E353" s="6">
        <f t="shared" si="24"/>
        <v>31</v>
      </c>
      <c r="F353" s="229" t="str">
        <f>IFERROR(_xlfn.XLOOKUP($A353,'Raw Data'!$A:$A,'Raw Data'!$BR:$BR),"")</f>
        <v/>
      </c>
      <c r="G353" s="230" t="str">
        <f>IFERROR(_xlfn.XLOOKUP($A353,'Raw Data'!$A:$A,'Raw Data'!$AO:$AO),"")</f>
        <v/>
      </c>
      <c r="H353" s="230"/>
      <c r="I353" s="230" t="str">
        <f>IFERROR(_xlfn.XLOOKUP($A353,'Raw Data'!$A:$A,'Raw Data'!$AR:$AR),"")</f>
        <v/>
      </c>
      <c r="J353" s="230"/>
      <c r="K353" s="230" t="str">
        <f>IFERROR(_xlfn.XLOOKUP($A353,'Raw Data'!$A:$A,'Raw Data'!$AV:$AV),"")</f>
        <v/>
      </c>
      <c r="L353" s="230" t="str">
        <f>IFERROR(_xlfn.XLOOKUP($A353,'Raw Data'!$A:$A,'Raw Data'!$AW:$AW),"")</f>
        <v/>
      </c>
      <c r="M353" s="230" t="str">
        <f>IFERROR(_xlfn.XLOOKUP($A353,'Raw Data'!$A:$A,'Raw Data'!$AX:$AX),"")</f>
        <v/>
      </c>
      <c r="N353" s="230" t="str">
        <f>IFERROR(_xlfn.XLOOKUP($A353,'Raw Data'!$A:$A,'Raw Data'!$AY:$AY),"")</f>
        <v/>
      </c>
      <c r="O353" s="231" t="str">
        <f>IFERROR(1-(SUMIF('Plant BD'!$B:$B,A353,'Plant BD'!$AE:$AE)/(AA353+SUMIF('Plant BD'!$B:$B,A353,'Plant BD'!$AE:$AE))),"")</f>
        <v/>
      </c>
      <c r="P353" s="231"/>
      <c r="Q353" s="232"/>
      <c r="R353" s="231" t="str">
        <f>IFERROR(1-(SUMIF('Grid BD'!$B:$B,$A353,'Grid BD'!$AD:$AD)/($AA353+SUMIF('Grid BD'!$B:$B,$A353,'Grid BD'!AD:AD))),"")</f>
        <v/>
      </c>
      <c r="S353" s="6"/>
      <c r="T353" s="232"/>
      <c r="U353" s="233" t="str">
        <f t="shared" si="25"/>
        <v/>
      </c>
      <c r="V353" s="233"/>
      <c r="W353" s="234" t="str">
        <f t="shared" si="23"/>
        <v/>
      </c>
      <c r="X353" s="227" t="str">
        <f>IFERROR(_xlfn.XLOOKUP($A353,'Raw Data'!$A:$A,'Raw Data'!$BA:$BA),"")</f>
        <v/>
      </c>
      <c r="Y353" s="227" t="str">
        <f>IFERROR(_xlfn.XLOOKUP($A353,'Raw Data'!$A:$A,'Raw Data'!BJ:BJ),"")</f>
        <v/>
      </c>
      <c r="Z353" s="227" t="str">
        <f>IFERROR(_xlfn.XLOOKUP($A353,'Raw Data'!$A:$A,'Raw Data'!BK:BK),"")</f>
        <v/>
      </c>
      <c r="AA353" s="227" t="str">
        <f>IFERROR(_xlfn.XLOOKUP($A353,'Raw Data'!$A:$A,'Raw Data'!BL:BL),"")</f>
        <v/>
      </c>
      <c r="AB353" s="227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27">
        <f>IFERROR(_xlfn.XLOOKUP($D353,'Modelling New'!$D:$D,'Modelling New'!$T:$T)*1000,"")</f>
        <v>124131.0967036221</v>
      </c>
      <c r="AE353" s="234">
        <f>IFERROR(_xlfn.XLOOKUP($D353,'Modelling New'!$D:$D,'Modelling New'!$O:$O),"")</f>
        <v>0.74023536153896807</v>
      </c>
      <c r="AF353" s="234">
        <f>IFERROR(_xlfn.XLOOKUP($D353,'Modelling New'!$D:$D,'Modelling New'!$W:$W),"")</f>
        <v>0.21281766644245331</v>
      </c>
      <c r="AG353" s="234">
        <f>IFERROR(_xlfn.XLOOKUP($D353,'Modelling New'!$D:$D,'Modelling New'!AE:AE),"")</f>
        <v>0.995</v>
      </c>
      <c r="AH353" s="234">
        <v>0.99750000000000005</v>
      </c>
      <c r="AI353" s="6"/>
      <c r="AJ353" s="6"/>
      <c r="AK353" s="6"/>
      <c r="AL353" s="6"/>
      <c r="AM353" s="6"/>
      <c r="AN353" s="231"/>
      <c r="AO353" s="234"/>
      <c r="AP353" s="234"/>
      <c r="AQ353" s="234"/>
      <c r="AR353" s="227">
        <f>IFERROR(_xlfn.XLOOKUP($D353,'Modelling New'!$D:$D,'Modelling New'!$N:$N),"")</f>
        <v>24.303100000000001</v>
      </c>
      <c r="AS353" s="227"/>
    </row>
    <row r="354" spans="1:45" x14ac:dyDescent="0.35">
      <c r="A354" s="226">
        <f t="shared" si="26"/>
        <v>46097</v>
      </c>
      <c r="B354" s="227">
        <f>YEAR(Daily_KPI[[#This Row],[Date]])+IF(MONTH(Daily_KPI[[#This Row],[Date]])&gt;=4,1,0)</f>
        <v>2026</v>
      </c>
      <c r="C354" s="6">
        <f>YEAR(Daily_KPI[[#This Row],[Date]])</f>
        <v>2026</v>
      </c>
      <c r="D354" s="228">
        <f>Daily_KPI[[#This Row],[Date]]-DAY(Daily_KPI[[#This Row],[Date]])+1</f>
        <v>46082</v>
      </c>
      <c r="E354" s="6">
        <f t="shared" si="24"/>
        <v>31</v>
      </c>
      <c r="F354" s="229" t="str">
        <f>IFERROR(_xlfn.XLOOKUP($A354,'Raw Data'!$A:$A,'Raw Data'!$BR:$BR),"")</f>
        <v/>
      </c>
      <c r="G354" s="230" t="str">
        <f>IFERROR(_xlfn.XLOOKUP($A354,'Raw Data'!$A:$A,'Raw Data'!$AO:$AO),"")</f>
        <v/>
      </c>
      <c r="H354" s="230"/>
      <c r="I354" s="230" t="str">
        <f>IFERROR(_xlfn.XLOOKUP($A354,'Raw Data'!$A:$A,'Raw Data'!$AR:$AR),"")</f>
        <v/>
      </c>
      <c r="J354" s="230"/>
      <c r="K354" s="230" t="str">
        <f>IFERROR(_xlfn.XLOOKUP($A354,'Raw Data'!$A:$A,'Raw Data'!$AV:$AV),"")</f>
        <v/>
      </c>
      <c r="L354" s="230" t="str">
        <f>IFERROR(_xlfn.XLOOKUP($A354,'Raw Data'!$A:$A,'Raw Data'!$AW:$AW),"")</f>
        <v/>
      </c>
      <c r="M354" s="230" t="str">
        <f>IFERROR(_xlfn.XLOOKUP($A354,'Raw Data'!$A:$A,'Raw Data'!$AX:$AX),"")</f>
        <v/>
      </c>
      <c r="N354" s="230" t="str">
        <f>IFERROR(_xlfn.XLOOKUP($A354,'Raw Data'!$A:$A,'Raw Data'!$AY:$AY),"")</f>
        <v/>
      </c>
      <c r="O354" s="231" t="str">
        <f>IFERROR(1-(SUMIF('Plant BD'!$B:$B,A354,'Plant BD'!$AE:$AE)/(AA354+SUMIF('Plant BD'!$B:$B,A354,'Plant BD'!$AE:$AE))),"")</f>
        <v/>
      </c>
      <c r="P354" s="231"/>
      <c r="Q354" s="232"/>
      <c r="R354" s="231" t="str">
        <f>IFERROR(1-(SUMIF('Grid BD'!$B:$B,$A354,'Grid BD'!$AD:$AD)/($AA354+SUMIF('Grid BD'!$B:$B,$A354,'Grid BD'!AD:AD))),"")</f>
        <v/>
      </c>
      <c r="S354" s="6"/>
      <c r="T354" s="232"/>
      <c r="U354" s="233" t="str">
        <f t="shared" si="25"/>
        <v/>
      </c>
      <c r="V354" s="233"/>
      <c r="W354" s="234" t="str">
        <f t="shared" si="23"/>
        <v/>
      </c>
      <c r="X354" s="227" t="str">
        <f>IFERROR(_xlfn.XLOOKUP($A354,'Raw Data'!$A:$A,'Raw Data'!$BA:$BA),"")</f>
        <v/>
      </c>
      <c r="Y354" s="227" t="str">
        <f>IFERROR(_xlfn.XLOOKUP($A354,'Raw Data'!$A:$A,'Raw Data'!BJ:BJ),"")</f>
        <v/>
      </c>
      <c r="Z354" s="227" t="str">
        <f>IFERROR(_xlfn.XLOOKUP($A354,'Raw Data'!$A:$A,'Raw Data'!BK:BK),"")</f>
        <v/>
      </c>
      <c r="AA354" s="227" t="str">
        <f>IFERROR(_xlfn.XLOOKUP($A354,'Raw Data'!$A:$A,'Raw Data'!BL:BL),"")</f>
        <v/>
      </c>
      <c r="AB354" s="227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27">
        <f>IFERROR(_xlfn.XLOOKUP($D354,'Modelling New'!$D:$D,'Modelling New'!$T:$T)*1000,"")</f>
        <v>124131.0967036221</v>
      </c>
      <c r="AE354" s="234">
        <f>IFERROR(_xlfn.XLOOKUP($D354,'Modelling New'!$D:$D,'Modelling New'!$O:$O),"")</f>
        <v>0.74023536153896807</v>
      </c>
      <c r="AF354" s="234">
        <f>IFERROR(_xlfn.XLOOKUP($D354,'Modelling New'!$D:$D,'Modelling New'!$W:$W),"")</f>
        <v>0.21281766644245331</v>
      </c>
      <c r="AG354" s="234">
        <f>IFERROR(_xlfn.XLOOKUP($D354,'Modelling New'!$D:$D,'Modelling New'!AE:AE),"")</f>
        <v>0.995</v>
      </c>
      <c r="AH354" s="234">
        <v>0.99750000000000005</v>
      </c>
      <c r="AI354" s="6"/>
      <c r="AJ354" s="6"/>
      <c r="AK354" s="6"/>
      <c r="AL354" s="6"/>
      <c r="AM354" s="6"/>
      <c r="AN354" s="231"/>
      <c r="AO354" s="234"/>
      <c r="AP354" s="234"/>
      <c r="AQ354" s="234"/>
      <c r="AR354" s="227">
        <f>IFERROR(_xlfn.XLOOKUP($D354,'Modelling New'!$D:$D,'Modelling New'!$N:$N),"")</f>
        <v>24.303100000000001</v>
      </c>
      <c r="AS354" s="227"/>
    </row>
    <row r="355" spans="1:45" x14ac:dyDescent="0.35">
      <c r="A355" s="226">
        <f t="shared" si="26"/>
        <v>46098</v>
      </c>
      <c r="B355" s="227">
        <f>YEAR(Daily_KPI[[#This Row],[Date]])+IF(MONTH(Daily_KPI[[#This Row],[Date]])&gt;=4,1,0)</f>
        <v>2026</v>
      </c>
      <c r="C355" s="6">
        <f>YEAR(Daily_KPI[[#This Row],[Date]])</f>
        <v>2026</v>
      </c>
      <c r="D355" s="228">
        <f>Daily_KPI[[#This Row],[Date]]-DAY(Daily_KPI[[#This Row],[Date]])+1</f>
        <v>46082</v>
      </c>
      <c r="E355" s="6">
        <f t="shared" si="24"/>
        <v>31</v>
      </c>
      <c r="F355" s="229" t="str">
        <f>IFERROR(_xlfn.XLOOKUP($A355,'Raw Data'!$A:$A,'Raw Data'!$BR:$BR),"")</f>
        <v/>
      </c>
      <c r="G355" s="230" t="str">
        <f>IFERROR(_xlfn.XLOOKUP($A355,'Raw Data'!$A:$A,'Raw Data'!$AO:$AO),"")</f>
        <v/>
      </c>
      <c r="H355" s="230"/>
      <c r="I355" s="230" t="str">
        <f>IFERROR(_xlfn.XLOOKUP($A355,'Raw Data'!$A:$A,'Raw Data'!$AR:$AR),"")</f>
        <v/>
      </c>
      <c r="J355" s="230"/>
      <c r="K355" s="230" t="str">
        <f>IFERROR(_xlfn.XLOOKUP($A355,'Raw Data'!$A:$A,'Raw Data'!$AV:$AV),"")</f>
        <v/>
      </c>
      <c r="L355" s="230" t="str">
        <f>IFERROR(_xlfn.XLOOKUP($A355,'Raw Data'!$A:$A,'Raw Data'!$AW:$AW),"")</f>
        <v/>
      </c>
      <c r="M355" s="230" t="str">
        <f>IFERROR(_xlfn.XLOOKUP($A355,'Raw Data'!$A:$A,'Raw Data'!$AX:$AX),"")</f>
        <v/>
      </c>
      <c r="N355" s="230" t="str">
        <f>IFERROR(_xlfn.XLOOKUP($A355,'Raw Data'!$A:$A,'Raw Data'!$AY:$AY),"")</f>
        <v/>
      </c>
      <c r="O355" s="231" t="str">
        <f>IFERROR(1-(SUMIF('Plant BD'!$B:$B,A355,'Plant BD'!$AE:$AE)/(AA355+SUMIF('Plant BD'!$B:$B,A355,'Plant BD'!$AE:$AE))),"")</f>
        <v/>
      </c>
      <c r="P355" s="231"/>
      <c r="Q355" s="232"/>
      <c r="R355" s="231" t="str">
        <f>IFERROR(1-(SUMIF('Grid BD'!$B:$B,$A355,'Grid BD'!$AD:$AD)/($AA355+SUMIF('Grid BD'!$B:$B,$A355,'Grid BD'!AD:AD))),"")</f>
        <v/>
      </c>
      <c r="S355" s="6"/>
      <c r="T355" s="232"/>
      <c r="U355" s="233" t="str">
        <f t="shared" si="25"/>
        <v/>
      </c>
      <c r="V355" s="233"/>
      <c r="W355" s="234" t="str">
        <f t="shared" si="23"/>
        <v/>
      </c>
      <c r="X355" s="227" t="str">
        <f>IFERROR(_xlfn.XLOOKUP($A355,'Raw Data'!$A:$A,'Raw Data'!$BA:$BA),"")</f>
        <v/>
      </c>
      <c r="Y355" s="227" t="str">
        <f>IFERROR(_xlfn.XLOOKUP($A355,'Raw Data'!$A:$A,'Raw Data'!BJ:BJ),"")</f>
        <v/>
      </c>
      <c r="Z355" s="227" t="str">
        <f>IFERROR(_xlfn.XLOOKUP($A355,'Raw Data'!$A:$A,'Raw Data'!BK:BK),"")</f>
        <v/>
      </c>
      <c r="AA355" s="227" t="str">
        <f>IFERROR(_xlfn.XLOOKUP($A355,'Raw Data'!$A:$A,'Raw Data'!BL:BL),"")</f>
        <v/>
      </c>
      <c r="AB355" s="227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27">
        <f>IFERROR(_xlfn.XLOOKUP($D355,'Modelling New'!$D:$D,'Modelling New'!$T:$T)*1000,"")</f>
        <v>124131.0967036221</v>
      </c>
      <c r="AE355" s="234">
        <f>IFERROR(_xlfn.XLOOKUP($D355,'Modelling New'!$D:$D,'Modelling New'!$O:$O),"")</f>
        <v>0.74023536153896807</v>
      </c>
      <c r="AF355" s="234">
        <f>IFERROR(_xlfn.XLOOKUP($D355,'Modelling New'!$D:$D,'Modelling New'!$W:$W),"")</f>
        <v>0.21281766644245331</v>
      </c>
      <c r="AG355" s="234">
        <f>IFERROR(_xlfn.XLOOKUP($D355,'Modelling New'!$D:$D,'Modelling New'!AE:AE),"")</f>
        <v>0.995</v>
      </c>
      <c r="AH355" s="234">
        <v>0.99750000000000005</v>
      </c>
      <c r="AI355" s="6"/>
      <c r="AJ355" s="6"/>
      <c r="AK355" s="6"/>
      <c r="AL355" s="6"/>
      <c r="AM355" s="6"/>
      <c r="AN355" s="231"/>
      <c r="AO355" s="234"/>
      <c r="AP355" s="234"/>
      <c r="AQ355" s="234"/>
      <c r="AR355" s="227">
        <f>IFERROR(_xlfn.XLOOKUP($D355,'Modelling New'!$D:$D,'Modelling New'!$N:$N),"")</f>
        <v>24.303100000000001</v>
      </c>
      <c r="AS355" s="227"/>
    </row>
    <row r="356" spans="1:45" x14ac:dyDescent="0.35">
      <c r="A356" s="226">
        <f t="shared" si="26"/>
        <v>46099</v>
      </c>
      <c r="B356" s="227">
        <f>YEAR(Daily_KPI[[#This Row],[Date]])+IF(MONTH(Daily_KPI[[#This Row],[Date]])&gt;=4,1,0)</f>
        <v>2026</v>
      </c>
      <c r="C356" s="6">
        <f>YEAR(Daily_KPI[[#This Row],[Date]])</f>
        <v>2026</v>
      </c>
      <c r="D356" s="228">
        <f>Daily_KPI[[#This Row],[Date]]-DAY(Daily_KPI[[#This Row],[Date]])+1</f>
        <v>46082</v>
      </c>
      <c r="E356" s="6">
        <f t="shared" si="24"/>
        <v>31</v>
      </c>
      <c r="F356" s="229" t="str">
        <f>IFERROR(_xlfn.XLOOKUP($A356,'Raw Data'!$A:$A,'Raw Data'!$BR:$BR),"")</f>
        <v/>
      </c>
      <c r="G356" s="230" t="str">
        <f>IFERROR(_xlfn.XLOOKUP($A356,'Raw Data'!$A:$A,'Raw Data'!$AO:$AO),"")</f>
        <v/>
      </c>
      <c r="H356" s="230"/>
      <c r="I356" s="230" t="str">
        <f>IFERROR(_xlfn.XLOOKUP($A356,'Raw Data'!$A:$A,'Raw Data'!$AR:$AR),"")</f>
        <v/>
      </c>
      <c r="J356" s="230"/>
      <c r="K356" s="230" t="str">
        <f>IFERROR(_xlfn.XLOOKUP($A356,'Raw Data'!$A:$A,'Raw Data'!$AV:$AV),"")</f>
        <v/>
      </c>
      <c r="L356" s="230" t="str">
        <f>IFERROR(_xlfn.XLOOKUP($A356,'Raw Data'!$A:$A,'Raw Data'!$AW:$AW),"")</f>
        <v/>
      </c>
      <c r="M356" s="230" t="str">
        <f>IFERROR(_xlfn.XLOOKUP($A356,'Raw Data'!$A:$A,'Raw Data'!$AX:$AX),"")</f>
        <v/>
      </c>
      <c r="N356" s="230" t="str">
        <f>IFERROR(_xlfn.XLOOKUP($A356,'Raw Data'!$A:$A,'Raw Data'!$AY:$AY),"")</f>
        <v/>
      </c>
      <c r="O356" s="231" t="str">
        <f>IFERROR(1-(SUMIF('Plant BD'!$B:$B,A356,'Plant BD'!$AE:$AE)/(AA356+SUMIF('Plant BD'!$B:$B,A356,'Plant BD'!$AE:$AE))),"")</f>
        <v/>
      </c>
      <c r="P356" s="231"/>
      <c r="Q356" s="232"/>
      <c r="R356" s="231" t="str">
        <f>IFERROR(1-(SUMIF('Grid BD'!$B:$B,$A356,'Grid BD'!$AD:$AD)/($AA356+SUMIF('Grid BD'!$B:$B,$A356,'Grid BD'!AD:AD))),"")</f>
        <v/>
      </c>
      <c r="S356" s="6"/>
      <c r="T356" s="232"/>
      <c r="U356" s="233" t="str">
        <f t="shared" si="25"/>
        <v/>
      </c>
      <c r="V356" s="233"/>
      <c r="W356" s="234" t="str">
        <f t="shared" si="23"/>
        <v/>
      </c>
      <c r="X356" s="227" t="str">
        <f>IFERROR(_xlfn.XLOOKUP($A356,'Raw Data'!$A:$A,'Raw Data'!$BA:$BA),"")</f>
        <v/>
      </c>
      <c r="Y356" s="227" t="str">
        <f>IFERROR(_xlfn.XLOOKUP($A356,'Raw Data'!$A:$A,'Raw Data'!BJ:BJ),"")</f>
        <v/>
      </c>
      <c r="Z356" s="227" t="str">
        <f>IFERROR(_xlfn.XLOOKUP($A356,'Raw Data'!$A:$A,'Raw Data'!BK:BK),"")</f>
        <v/>
      </c>
      <c r="AA356" s="227" t="str">
        <f>IFERROR(_xlfn.XLOOKUP($A356,'Raw Data'!$A:$A,'Raw Data'!BL:BL),"")</f>
        <v/>
      </c>
      <c r="AB356" s="227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27">
        <f>IFERROR(_xlfn.XLOOKUP($D356,'Modelling New'!$D:$D,'Modelling New'!$T:$T)*1000,"")</f>
        <v>124131.0967036221</v>
      </c>
      <c r="AE356" s="234">
        <f>IFERROR(_xlfn.XLOOKUP($D356,'Modelling New'!$D:$D,'Modelling New'!$O:$O),"")</f>
        <v>0.74023536153896807</v>
      </c>
      <c r="AF356" s="234">
        <f>IFERROR(_xlfn.XLOOKUP($D356,'Modelling New'!$D:$D,'Modelling New'!$W:$W),"")</f>
        <v>0.21281766644245331</v>
      </c>
      <c r="AG356" s="234">
        <f>IFERROR(_xlfn.XLOOKUP($D356,'Modelling New'!$D:$D,'Modelling New'!AE:AE),"")</f>
        <v>0.995</v>
      </c>
      <c r="AH356" s="234">
        <v>0.99750000000000005</v>
      </c>
      <c r="AI356" s="6"/>
      <c r="AJ356" s="6"/>
      <c r="AK356" s="6"/>
      <c r="AL356" s="6"/>
      <c r="AM356" s="6"/>
      <c r="AN356" s="231"/>
      <c r="AO356" s="234"/>
      <c r="AP356" s="234"/>
      <c r="AQ356" s="234"/>
      <c r="AR356" s="227">
        <f>IFERROR(_xlfn.XLOOKUP($D356,'Modelling New'!$D:$D,'Modelling New'!$N:$N),"")</f>
        <v>24.303100000000001</v>
      </c>
      <c r="AS356" s="227"/>
    </row>
    <row r="357" spans="1:45" x14ac:dyDescent="0.35">
      <c r="A357" s="226">
        <f t="shared" si="26"/>
        <v>46100</v>
      </c>
      <c r="B357" s="227">
        <f>YEAR(Daily_KPI[[#This Row],[Date]])+IF(MONTH(Daily_KPI[[#This Row],[Date]])&gt;=4,1,0)</f>
        <v>2026</v>
      </c>
      <c r="C357" s="6">
        <f>YEAR(Daily_KPI[[#This Row],[Date]])</f>
        <v>2026</v>
      </c>
      <c r="D357" s="228">
        <f>Daily_KPI[[#This Row],[Date]]-DAY(Daily_KPI[[#This Row],[Date]])+1</f>
        <v>46082</v>
      </c>
      <c r="E357" s="6">
        <f t="shared" si="24"/>
        <v>31</v>
      </c>
      <c r="F357" s="229" t="str">
        <f>IFERROR(_xlfn.XLOOKUP($A357,'Raw Data'!$A:$A,'Raw Data'!$BR:$BR),"")</f>
        <v/>
      </c>
      <c r="G357" s="230" t="str">
        <f>IFERROR(_xlfn.XLOOKUP($A357,'Raw Data'!$A:$A,'Raw Data'!$AO:$AO),"")</f>
        <v/>
      </c>
      <c r="H357" s="230"/>
      <c r="I357" s="230" t="str">
        <f>IFERROR(_xlfn.XLOOKUP($A357,'Raw Data'!$A:$A,'Raw Data'!$AR:$AR),"")</f>
        <v/>
      </c>
      <c r="J357" s="230"/>
      <c r="K357" s="230" t="str">
        <f>IFERROR(_xlfn.XLOOKUP($A357,'Raw Data'!$A:$A,'Raw Data'!$AV:$AV),"")</f>
        <v/>
      </c>
      <c r="L357" s="230" t="str">
        <f>IFERROR(_xlfn.XLOOKUP($A357,'Raw Data'!$A:$A,'Raw Data'!$AW:$AW),"")</f>
        <v/>
      </c>
      <c r="M357" s="230" t="str">
        <f>IFERROR(_xlfn.XLOOKUP($A357,'Raw Data'!$A:$A,'Raw Data'!$AX:$AX),"")</f>
        <v/>
      </c>
      <c r="N357" s="230" t="str">
        <f>IFERROR(_xlfn.XLOOKUP($A357,'Raw Data'!$A:$A,'Raw Data'!$AY:$AY),"")</f>
        <v/>
      </c>
      <c r="O357" s="231" t="str">
        <f>IFERROR(1-(SUMIF('Plant BD'!$B:$B,A357,'Plant BD'!$AE:$AE)/(AA357+SUMIF('Plant BD'!$B:$B,A357,'Plant BD'!$AE:$AE))),"")</f>
        <v/>
      </c>
      <c r="P357" s="231"/>
      <c r="Q357" s="232"/>
      <c r="R357" s="231" t="str">
        <f>IFERROR(1-(SUMIF('Grid BD'!$B:$B,$A357,'Grid BD'!$AD:$AD)/($AA357+SUMIF('Grid BD'!$B:$B,$A357,'Grid BD'!AD:AD))),"")</f>
        <v/>
      </c>
      <c r="S357" s="6"/>
      <c r="T357" s="232"/>
      <c r="U357" s="233" t="str">
        <f t="shared" si="25"/>
        <v/>
      </c>
      <c r="V357" s="233"/>
      <c r="W357" s="234" t="str">
        <f t="shared" si="23"/>
        <v/>
      </c>
      <c r="X357" s="227" t="str">
        <f>IFERROR(_xlfn.XLOOKUP($A357,'Raw Data'!$A:$A,'Raw Data'!$BA:$BA),"")</f>
        <v/>
      </c>
      <c r="Y357" s="227" t="str">
        <f>IFERROR(_xlfn.XLOOKUP($A357,'Raw Data'!$A:$A,'Raw Data'!BJ:BJ),"")</f>
        <v/>
      </c>
      <c r="Z357" s="227" t="str">
        <f>IFERROR(_xlfn.XLOOKUP($A357,'Raw Data'!$A:$A,'Raw Data'!BK:BK),"")</f>
        <v/>
      </c>
      <c r="AA357" s="227" t="str">
        <f>IFERROR(_xlfn.XLOOKUP($A357,'Raw Data'!$A:$A,'Raw Data'!BL:BL),"")</f>
        <v/>
      </c>
      <c r="AB357" s="227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27">
        <f>IFERROR(_xlfn.XLOOKUP($D357,'Modelling New'!$D:$D,'Modelling New'!$T:$T)*1000,"")</f>
        <v>124131.0967036221</v>
      </c>
      <c r="AE357" s="234">
        <f>IFERROR(_xlfn.XLOOKUP($D357,'Modelling New'!$D:$D,'Modelling New'!$O:$O),"")</f>
        <v>0.74023536153896807</v>
      </c>
      <c r="AF357" s="234">
        <f>IFERROR(_xlfn.XLOOKUP($D357,'Modelling New'!$D:$D,'Modelling New'!$W:$W),"")</f>
        <v>0.21281766644245331</v>
      </c>
      <c r="AG357" s="234">
        <f>IFERROR(_xlfn.XLOOKUP($D357,'Modelling New'!$D:$D,'Modelling New'!AE:AE),"")</f>
        <v>0.995</v>
      </c>
      <c r="AH357" s="234">
        <v>0.99750000000000005</v>
      </c>
      <c r="AI357" s="6"/>
      <c r="AJ357" s="6"/>
      <c r="AK357" s="6"/>
      <c r="AL357" s="6"/>
      <c r="AM357" s="6"/>
      <c r="AN357" s="231"/>
      <c r="AO357" s="234"/>
      <c r="AP357" s="234"/>
      <c r="AQ357" s="234"/>
      <c r="AR357" s="227">
        <f>IFERROR(_xlfn.XLOOKUP($D357,'Modelling New'!$D:$D,'Modelling New'!$N:$N),"")</f>
        <v>24.303100000000001</v>
      </c>
      <c r="AS357" s="227"/>
    </row>
    <row r="358" spans="1:45" x14ac:dyDescent="0.35">
      <c r="A358" s="226">
        <f t="shared" si="26"/>
        <v>46101</v>
      </c>
      <c r="B358" s="227">
        <f>YEAR(Daily_KPI[[#This Row],[Date]])+IF(MONTH(Daily_KPI[[#This Row],[Date]])&gt;=4,1,0)</f>
        <v>2026</v>
      </c>
      <c r="C358" s="6">
        <f>YEAR(Daily_KPI[[#This Row],[Date]])</f>
        <v>2026</v>
      </c>
      <c r="D358" s="228">
        <f>Daily_KPI[[#This Row],[Date]]-DAY(Daily_KPI[[#This Row],[Date]])+1</f>
        <v>46082</v>
      </c>
      <c r="E358" s="6">
        <f t="shared" si="24"/>
        <v>31</v>
      </c>
      <c r="F358" s="229" t="str">
        <f>IFERROR(_xlfn.XLOOKUP($A358,'Raw Data'!$A:$A,'Raw Data'!$BR:$BR),"")</f>
        <v/>
      </c>
      <c r="G358" s="230" t="str">
        <f>IFERROR(_xlfn.XLOOKUP($A358,'Raw Data'!$A:$A,'Raw Data'!$AO:$AO),"")</f>
        <v/>
      </c>
      <c r="H358" s="230"/>
      <c r="I358" s="230" t="str">
        <f>IFERROR(_xlfn.XLOOKUP($A358,'Raw Data'!$A:$A,'Raw Data'!$AR:$AR),"")</f>
        <v/>
      </c>
      <c r="J358" s="230"/>
      <c r="K358" s="230" t="str">
        <f>IFERROR(_xlfn.XLOOKUP($A358,'Raw Data'!$A:$A,'Raw Data'!$AV:$AV),"")</f>
        <v/>
      </c>
      <c r="L358" s="230" t="str">
        <f>IFERROR(_xlfn.XLOOKUP($A358,'Raw Data'!$A:$A,'Raw Data'!$AW:$AW),"")</f>
        <v/>
      </c>
      <c r="M358" s="230" t="str">
        <f>IFERROR(_xlfn.XLOOKUP($A358,'Raw Data'!$A:$A,'Raw Data'!$AX:$AX),"")</f>
        <v/>
      </c>
      <c r="N358" s="230" t="str">
        <f>IFERROR(_xlfn.XLOOKUP($A358,'Raw Data'!$A:$A,'Raw Data'!$AY:$AY),"")</f>
        <v/>
      </c>
      <c r="O358" s="231" t="str">
        <f>IFERROR(1-(SUMIF('Plant BD'!$B:$B,A358,'Plant BD'!$AE:$AE)/(AA358+SUMIF('Plant BD'!$B:$B,A358,'Plant BD'!$AE:$AE))),"")</f>
        <v/>
      </c>
      <c r="P358" s="231"/>
      <c r="Q358" s="232"/>
      <c r="R358" s="231" t="str">
        <f>IFERROR(1-(SUMIF('Grid BD'!$B:$B,$A358,'Grid BD'!$AD:$AD)/($AA358+SUMIF('Grid BD'!$B:$B,$A358,'Grid BD'!AD:AD))),"")</f>
        <v/>
      </c>
      <c r="S358" s="6"/>
      <c r="T358" s="232"/>
      <c r="U358" s="233" t="str">
        <f t="shared" si="25"/>
        <v/>
      </c>
      <c r="V358" s="233"/>
      <c r="W358" s="234" t="str">
        <f t="shared" si="23"/>
        <v/>
      </c>
      <c r="X358" s="227" t="str">
        <f>IFERROR(_xlfn.XLOOKUP($A358,'Raw Data'!$A:$A,'Raw Data'!$BA:$BA),"")</f>
        <v/>
      </c>
      <c r="Y358" s="227" t="str">
        <f>IFERROR(_xlfn.XLOOKUP($A358,'Raw Data'!$A:$A,'Raw Data'!BJ:BJ),"")</f>
        <v/>
      </c>
      <c r="Z358" s="227" t="str">
        <f>IFERROR(_xlfn.XLOOKUP($A358,'Raw Data'!$A:$A,'Raw Data'!BK:BK),"")</f>
        <v/>
      </c>
      <c r="AA358" s="227" t="str">
        <f>IFERROR(_xlfn.XLOOKUP($A358,'Raw Data'!$A:$A,'Raw Data'!BL:BL),"")</f>
        <v/>
      </c>
      <c r="AB358" s="227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27">
        <f>IFERROR(_xlfn.XLOOKUP($D358,'Modelling New'!$D:$D,'Modelling New'!$T:$T)*1000,"")</f>
        <v>124131.0967036221</v>
      </c>
      <c r="AE358" s="234">
        <f>IFERROR(_xlfn.XLOOKUP($D358,'Modelling New'!$D:$D,'Modelling New'!$O:$O),"")</f>
        <v>0.74023536153896807</v>
      </c>
      <c r="AF358" s="234">
        <f>IFERROR(_xlfn.XLOOKUP($D358,'Modelling New'!$D:$D,'Modelling New'!$W:$W),"")</f>
        <v>0.21281766644245331</v>
      </c>
      <c r="AG358" s="234">
        <f>IFERROR(_xlfn.XLOOKUP($D358,'Modelling New'!$D:$D,'Modelling New'!AE:AE),"")</f>
        <v>0.995</v>
      </c>
      <c r="AH358" s="234">
        <v>0.99750000000000005</v>
      </c>
      <c r="AI358" s="6"/>
      <c r="AJ358" s="6"/>
      <c r="AK358" s="6"/>
      <c r="AL358" s="6"/>
      <c r="AM358" s="6"/>
      <c r="AN358" s="231"/>
      <c r="AO358" s="234"/>
      <c r="AP358" s="234"/>
      <c r="AQ358" s="234"/>
      <c r="AR358" s="227">
        <f>IFERROR(_xlfn.XLOOKUP($D358,'Modelling New'!$D:$D,'Modelling New'!$N:$N),"")</f>
        <v>24.303100000000001</v>
      </c>
      <c r="AS358" s="227"/>
    </row>
    <row r="359" spans="1:45" x14ac:dyDescent="0.35">
      <c r="A359" s="226">
        <f t="shared" si="26"/>
        <v>46102</v>
      </c>
      <c r="B359" s="227">
        <f>YEAR(Daily_KPI[[#This Row],[Date]])+IF(MONTH(Daily_KPI[[#This Row],[Date]])&gt;=4,1,0)</f>
        <v>2026</v>
      </c>
      <c r="C359" s="6">
        <f>YEAR(Daily_KPI[[#This Row],[Date]])</f>
        <v>2026</v>
      </c>
      <c r="D359" s="228">
        <f>Daily_KPI[[#This Row],[Date]]-DAY(Daily_KPI[[#This Row],[Date]])+1</f>
        <v>46082</v>
      </c>
      <c r="E359" s="6">
        <f t="shared" si="24"/>
        <v>31</v>
      </c>
      <c r="F359" s="229" t="str">
        <f>IFERROR(_xlfn.XLOOKUP($A359,'Raw Data'!$A:$A,'Raw Data'!$BR:$BR),"")</f>
        <v/>
      </c>
      <c r="G359" s="230" t="str">
        <f>IFERROR(_xlfn.XLOOKUP($A359,'Raw Data'!$A:$A,'Raw Data'!$AO:$AO),"")</f>
        <v/>
      </c>
      <c r="H359" s="230"/>
      <c r="I359" s="230" t="str">
        <f>IFERROR(_xlfn.XLOOKUP($A359,'Raw Data'!$A:$A,'Raw Data'!$AR:$AR),"")</f>
        <v/>
      </c>
      <c r="J359" s="230"/>
      <c r="K359" s="230" t="str">
        <f>IFERROR(_xlfn.XLOOKUP($A359,'Raw Data'!$A:$A,'Raw Data'!$AV:$AV),"")</f>
        <v/>
      </c>
      <c r="L359" s="230" t="str">
        <f>IFERROR(_xlfn.XLOOKUP($A359,'Raw Data'!$A:$A,'Raw Data'!$AW:$AW),"")</f>
        <v/>
      </c>
      <c r="M359" s="230" t="str">
        <f>IFERROR(_xlfn.XLOOKUP($A359,'Raw Data'!$A:$A,'Raw Data'!$AX:$AX),"")</f>
        <v/>
      </c>
      <c r="N359" s="230" t="str">
        <f>IFERROR(_xlfn.XLOOKUP($A359,'Raw Data'!$A:$A,'Raw Data'!$AY:$AY),"")</f>
        <v/>
      </c>
      <c r="O359" s="231" t="str">
        <f>IFERROR(1-(SUMIF('Plant BD'!$B:$B,A359,'Plant BD'!$AE:$AE)/(AA359+SUMIF('Plant BD'!$B:$B,A359,'Plant BD'!$AE:$AE))),"")</f>
        <v/>
      </c>
      <c r="P359" s="231"/>
      <c r="Q359" s="232"/>
      <c r="R359" s="231" t="str">
        <f>IFERROR(1-(SUMIF('Grid BD'!$B:$B,$A359,'Grid BD'!$AD:$AD)/($AA359+SUMIF('Grid BD'!$B:$B,$A359,'Grid BD'!AD:AD))),"")</f>
        <v/>
      </c>
      <c r="S359" s="6"/>
      <c r="T359" s="232"/>
      <c r="U359" s="233" t="str">
        <f t="shared" si="25"/>
        <v/>
      </c>
      <c r="V359" s="233"/>
      <c r="W359" s="234" t="str">
        <f t="shared" si="23"/>
        <v/>
      </c>
      <c r="X359" s="227" t="str">
        <f>IFERROR(_xlfn.XLOOKUP($A359,'Raw Data'!$A:$A,'Raw Data'!$BA:$BA),"")</f>
        <v/>
      </c>
      <c r="Y359" s="227" t="str">
        <f>IFERROR(_xlfn.XLOOKUP($A359,'Raw Data'!$A:$A,'Raw Data'!BJ:BJ),"")</f>
        <v/>
      </c>
      <c r="Z359" s="227" t="str">
        <f>IFERROR(_xlfn.XLOOKUP($A359,'Raw Data'!$A:$A,'Raw Data'!BK:BK),"")</f>
        <v/>
      </c>
      <c r="AA359" s="227" t="str">
        <f>IFERROR(_xlfn.XLOOKUP($A359,'Raw Data'!$A:$A,'Raw Data'!BL:BL),"")</f>
        <v/>
      </c>
      <c r="AB359" s="227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27">
        <f>IFERROR(_xlfn.XLOOKUP($D359,'Modelling New'!$D:$D,'Modelling New'!$T:$T)*1000,"")</f>
        <v>124131.0967036221</v>
      </c>
      <c r="AE359" s="234">
        <f>IFERROR(_xlfn.XLOOKUP($D359,'Modelling New'!$D:$D,'Modelling New'!$O:$O),"")</f>
        <v>0.74023536153896807</v>
      </c>
      <c r="AF359" s="234">
        <f>IFERROR(_xlfn.XLOOKUP($D359,'Modelling New'!$D:$D,'Modelling New'!$W:$W),"")</f>
        <v>0.21281766644245331</v>
      </c>
      <c r="AG359" s="234">
        <f>IFERROR(_xlfn.XLOOKUP($D359,'Modelling New'!$D:$D,'Modelling New'!AE:AE),"")</f>
        <v>0.995</v>
      </c>
      <c r="AH359" s="234">
        <v>0.99750000000000005</v>
      </c>
      <c r="AI359" s="6"/>
      <c r="AJ359" s="6"/>
      <c r="AK359" s="6"/>
      <c r="AL359" s="6"/>
      <c r="AM359" s="6"/>
      <c r="AN359" s="231"/>
      <c r="AO359" s="234"/>
      <c r="AP359" s="234"/>
      <c r="AQ359" s="234"/>
      <c r="AR359" s="227">
        <f>IFERROR(_xlfn.XLOOKUP($D359,'Modelling New'!$D:$D,'Modelling New'!$N:$N),"")</f>
        <v>24.303100000000001</v>
      </c>
      <c r="AS359" s="227"/>
    </row>
    <row r="360" spans="1:45" x14ac:dyDescent="0.35">
      <c r="A360" s="226">
        <f t="shared" si="26"/>
        <v>46103</v>
      </c>
      <c r="B360" s="227">
        <f>YEAR(Daily_KPI[[#This Row],[Date]])+IF(MONTH(Daily_KPI[[#This Row],[Date]])&gt;=4,1,0)</f>
        <v>2026</v>
      </c>
      <c r="C360" s="6">
        <f>YEAR(Daily_KPI[[#This Row],[Date]])</f>
        <v>2026</v>
      </c>
      <c r="D360" s="228">
        <f>Daily_KPI[[#This Row],[Date]]-DAY(Daily_KPI[[#This Row],[Date]])+1</f>
        <v>46082</v>
      </c>
      <c r="E360" s="6">
        <f t="shared" si="24"/>
        <v>31</v>
      </c>
      <c r="F360" s="229" t="str">
        <f>IFERROR(_xlfn.XLOOKUP($A360,'Raw Data'!$A:$A,'Raw Data'!$BR:$BR),"")</f>
        <v/>
      </c>
      <c r="G360" s="230" t="str">
        <f>IFERROR(_xlfn.XLOOKUP($A360,'Raw Data'!$A:$A,'Raw Data'!$AO:$AO),"")</f>
        <v/>
      </c>
      <c r="H360" s="230"/>
      <c r="I360" s="230" t="str">
        <f>IFERROR(_xlfn.XLOOKUP($A360,'Raw Data'!$A:$A,'Raw Data'!$AR:$AR),"")</f>
        <v/>
      </c>
      <c r="J360" s="230"/>
      <c r="K360" s="230" t="str">
        <f>IFERROR(_xlfn.XLOOKUP($A360,'Raw Data'!$A:$A,'Raw Data'!$AV:$AV),"")</f>
        <v/>
      </c>
      <c r="L360" s="230" t="str">
        <f>IFERROR(_xlfn.XLOOKUP($A360,'Raw Data'!$A:$A,'Raw Data'!$AW:$AW),"")</f>
        <v/>
      </c>
      <c r="M360" s="230" t="str">
        <f>IFERROR(_xlfn.XLOOKUP($A360,'Raw Data'!$A:$A,'Raw Data'!$AX:$AX),"")</f>
        <v/>
      </c>
      <c r="N360" s="230" t="str">
        <f>IFERROR(_xlfn.XLOOKUP($A360,'Raw Data'!$A:$A,'Raw Data'!$AY:$AY),"")</f>
        <v/>
      </c>
      <c r="O360" s="231" t="str">
        <f>IFERROR(1-(SUMIF('Plant BD'!$B:$B,A360,'Plant BD'!$AE:$AE)/(AA360+SUMIF('Plant BD'!$B:$B,A360,'Plant BD'!$AE:$AE))),"")</f>
        <v/>
      </c>
      <c r="P360" s="231"/>
      <c r="Q360" s="232"/>
      <c r="R360" s="231" t="str">
        <f>IFERROR(1-(SUMIF('Grid BD'!$B:$B,$A360,'Grid BD'!$AD:$AD)/($AA360+SUMIF('Grid BD'!$B:$B,$A360,'Grid BD'!AD:AD))),"")</f>
        <v/>
      </c>
      <c r="S360" s="6"/>
      <c r="T360" s="232"/>
      <c r="U360" s="233" t="str">
        <f t="shared" si="25"/>
        <v/>
      </c>
      <c r="V360" s="233"/>
      <c r="W360" s="234" t="str">
        <f t="shared" si="23"/>
        <v/>
      </c>
      <c r="X360" s="227" t="str">
        <f>IFERROR(_xlfn.XLOOKUP($A360,'Raw Data'!$A:$A,'Raw Data'!$BA:$BA),"")</f>
        <v/>
      </c>
      <c r="Y360" s="227" t="str">
        <f>IFERROR(_xlfn.XLOOKUP($A360,'Raw Data'!$A:$A,'Raw Data'!BJ:BJ),"")</f>
        <v/>
      </c>
      <c r="Z360" s="227" t="str">
        <f>IFERROR(_xlfn.XLOOKUP($A360,'Raw Data'!$A:$A,'Raw Data'!BK:BK),"")</f>
        <v/>
      </c>
      <c r="AA360" s="227" t="str">
        <f>IFERROR(_xlfn.XLOOKUP($A360,'Raw Data'!$A:$A,'Raw Data'!BL:BL),"")</f>
        <v/>
      </c>
      <c r="AB360" s="227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27">
        <f>IFERROR(_xlfn.XLOOKUP($D360,'Modelling New'!$D:$D,'Modelling New'!$T:$T)*1000,"")</f>
        <v>124131.0967036221</v>
      </c>
      <c r="AE360" s="234">
        <f>IFERROR(_xlfn.XLOOKUP($D360,'Modelling New'!$D:$D,'Modelling New'!$O:$O),"")</f>
        <v>0.74023536153896807</v>
      </c>
      <c r="AF360" s="234">
        <f>IFERROR(_xlfn.XLOOKUP($D360,'Modelling New'!$D:$D,'Modelling New'!$W:$W),"")</f>
        <v>0.21281766644245331</v>
      </c>
      <c r="AG360" s="234">
        <f>IFERROR(_xlfn.XLOOKUP($D360,'Modelling New'!$D:$D,'Modelling New'!AE:AE),"")</f>
        <v>0.995</v>
      </c>
      <c r="AH360" s="234">
        <v>0.99750000000000005</v>
      </c>
      <c r="AI360" s="6"/>
      <c r="AJ360" s="6"/>
      <c r="AK360" s="6"/>
      <c r="AL360" s="6"/>
      <c r="AM360" s="6"/>
      <c r="AN360" s="231"/>
      <c r="AO360" s="234"/>
      <c r="AP360" s="234"/>
      <c r="AQ360" s="234"/>
      <c r="AR360" s="227">
        <f>IFERROR(_xlfn.XLOOKUP($D360,'Modelling New'!$D:$D,'Modelling New'!$N:$N),"")</f>
        <v>24.303100000000001</v>
      </c>
      <c r="AS360" s="227"/>
    </row>
    <row r="361" spans="1:45" x14ac:dyDescent="0.35">
      <c r="A361" s="226">
        <f t="shared" si="26"/>
        <v>46104</v>
      </c>
      <c r="B361" s="227">
        <f>YEAR(Daily_KPI[[#This Row],[Date]])+IF(MONTH(Daily_KPI[[#This Row],[Date]])&gt;=4,1,0)</f>
        <v>2026</v>
      </c>
      <c r="C361" s="6">
        <f>YEAR(Daily_KPI[[#This Row],[Date]])</f>
        <v>2026</v>
      </c>
      <c r="D361" s="228">
        <f>Daily_KPI[[#This Row],[Date]]-DAY(Daily_KPI[[#This Row],[Date]])+1</f>
        <v>46082</v>
      </c>
      <c r="E361" s="6">
        <f t="shared" si="24"/>
        <v>31</v>
      </c>
      <c r="F361" s="229" t="str">
        <f>IFERROR(_xlfn.XLOOKUP($A361,'Raw Data'!$A:$A,'Raw Data'!$BR:$BR),"")</f>
        <v/>
      </c>
      <c r="G361" s="230" t="str">
        <f>IFERROR(_xlfn.XLOOKUP($A361,'Raw Data'!$A:$A,'Raw Data'!$AO:$AO),"")</f>
        <v/>
      </c>
      <c r="H361" s="230"/>
      <c r="I361" s="230" t="str">
        <f>IFERROR(_xlfn.XLOOKUP($A361,'Raw Data'!$A:$A,'Raw Data'!$AR:$AR),"")</f>
        <v/>
      </c>
      <c r="J361" s="230"/>
      <c r="K361" s="230" t="str">
        <f>IFERROR(_xlfn.XLOOKUP($A361,'Raw Data'!$A:$A,'Raw Data'!$AV:$AV),"")</f>
        <v/>
      </c>
      <c r="L361" s="230" t="str">
        <f>IFERROR(_xlfn.XLOOKUP($A361,'Raw Data'!$A:$A,'Raw Data'!$AW:$AW),"")</f>
        <v/>
      </c>
      <c r="M361" s="230" t="str">
        <f>IFERROR(_xlfn.XLOOKUP($A361,'Raw Data'!$A:$A,'Raw Data'!$AX:$AX),"")</f>
        <v/>
      </c>
      <c r="N361" s="230" t="str">
        <f>IFERROR(_xlfn.XLOOKUP($A361,'Raw Data'!$A:$A,'Raw Data'!$AY:$AY),"")</f>
        <v/>
      </c>
      <c r="O361" s="231" t="str">
        <f>IFERROR(1-(SUMIF('Plant BD'!$B:$B,A361,'Plant BD'!$AE:$AE)/(AA361+SUMIF('Plant BD'!$B:$B,A361,'Plant BD'!$AE:$AE))),"")</f>
        <v/>
      </c>
      <c r="P361" s="231"/>
      <c r="Q361" s="232"/>
      <c r="R361" s="231" t="str">
        <f>IFERROR(1-(SUMIF('Grid BD'!$B:$B,$A361,'Grid BD'!$AD:$AD)/($AA361+SUMIF('Grid BD'!$B:$B,$A361,'Grid BD'!AD:AD))),"")</f>
        <v/>
      </c>
      <c r="S361" s="6"/>
      <c r="T361" s="232"/>
      <c r="U361" s="233" t="str">
        <f t="shared" si="25"/>
        <v/>
      </c>
      <c r="V361" s="233"/>
      <c r="W361" s="234" t="str">
        <f t="shared" si="23"/>
        <v/>
      </c>
      <c r="X361" s="227" t="str">
        <f>IFERROR(_xlfn.XLOOKUP($A361,'Raw Data'!$A:$A,'Raw Data'!$BA:$BA),"")</f>
        <v/>
      </c>
      <c r="Y361" s="227" t="str">
        <f>IFERROR(_xlfn.XLOOKUP($A361,'Raw Data'!$A:$A,'Raw Data'!BJ:BJ),"")</f>
        <v/>
      </c>
      <c r="Z361" s="227" t="str">
        <f>IFERROR(_xlfn.XLOOKUP($A361,'Raw Data'!$A:$A,'Raw Data'!BK:BK),"")</f>
        <v/>
      </c>
      <c r="AA361" s="227" t="str">
        <f>IFERROR(_xlfn.XLOOKUP($A361,'Raw Data'!$A:$A,'Raw Data'!BL:BL),"")</f>
        <v/>
      </c>
      <c r="AB361" s="227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27">
        <f>IFERROR(_xlfn.XLOOKUP($D361,'Modelling New'!$D:$D,'Modelling New'!$T:$T)*1000,"")</f>
        <v>124131.0967036221</v>
      </c>
      <c r="AE361" s="234">
        <f>IFERROR(_xlfn.XLOOKUP($D361,'Modelling New'!$D:$D,'Modelling New'!$O:$O),"")</f>
        <v>0.74023536153896807</v>
      </c>
      <c r="AF361" s="234">
        <f>IFERROR(_xlfn.XLOOKUP($D361,'Modelling New'!$D:$D,'Modelling New'!$W:$W),"")</f>
        <v>0.21281766644245331</v>
      </c>
      <c r="AG361" s="234">
        <f>IFERROR(_xlfn.XLOOKUP($D361,'Modelling New'!$D:$D,'Modelling New'!AE:AE),"")</f>
        <v>0.995</v>
      </c>
      <c r="AH361" s="234">
        <v>0.99750000000000005</v>
      </c>
      <c r="AI361" s="6"/>
      <c r="AJ361" s="6"/>
      <c r="AK361" s="6"/>
      <c r="AL361" s="6"/>
      <c r="AM361" s="6"/>
      <c r="AN361" s="231"/>
      <c r="AO361" s="234"/>
      <c r="AP361" s="234"/>
      <c r="AQ361" s="234"/>
      <c r="AR361" s="227">
        <f>IFERROR(_xlfn.XLOOKUP($D361,'Modelling New'!$D:$D,'Modelling New'!$N:$N),"")</f>
        <v>24.303100000000001</v>
      </c>
      <c r="AS361" s="227"/>
    </row>
    <row r="362" spans="1:45" x14ac:dyDescent="0.35">
      <c r="A362" s="226">
        <f t="shared" si="26"/>
        <v>46105</v>
      </c>
      <c r="B362" s="227">
        <f>YEAR(Daily_KPI[[#This Row],[Date]])+IF(MONTH(Daily_KPI[[#This Row],[Date]])&gt;=4,1,0)</f>
        <v>2026</v>
      </c>
      <c r="C362" s="6">
        <f>YEAR(Daily_KPI[[#This Row],[Date]])</f>
        <v>2026</v>
      </c>
      <c r="D362" s="228">
        <f>Daily_KPI[[#This Row],[Date]]-DAY(Daily_KPI[[#This Row],[Date]])+1</f>
        <v>46082</v>
      </c>
      <c r="E362" s="6">
        <f t="shared" si="24"/>
        <v>31</v>
      </c>
      <c r="F362" s="229" t="str">
        <f>IFERROR(_xlfn.XLOOKUP($A362,'Raw Data'!$A:$A,'Raw Data'!$BR:$BR),"")</f>
        <v/>
      </c>
      <c r="G362" s="230" t="str">
        <f>IFERROR(_xlfn.XLOOKUP($A362,'Raw Data'!$A:$A,'Raw Data'!$AO:$AO),"")</f>
        <v/>
      </c>
      <c r="H362" s="230"/>
      <c r="I362" s="230" t="str">
        <f>IFERROR(_xlfn.XLOOKUP($A362,'Raw Data'!$A:$A,'Raw Data'!$AR:$AR),"")</f>
        <v/>
      </c>
      <c r="J362" s="230"/>
      <c r="K362" s="230" t="str">
        <f>IFERROR(_xlfn.XLOOKUP($A362,'Raw Data'!$A:$A,'Raw Data'!$AV:$AV),"")</f>
        <v/>
      </c>
      <c r="L362" s="230" t="str">
        <f>IFERROR(_xlfn.XLOOKUP($A362,'Raw Data'!$A:$A,'Raw Data'!$AW:$AW),"")</f>
        <v/>
      </c>
      <c r="M362" s="230" t="str">
        <f>IFERROR(_xlfn.XLOOKUP($A362,'Raw Data'!$A:$A,'Raw Data'!$AX:$AX),"")</f>
        <v/>
      </c>
      <c r="N362" s="230" t="str">
        <f>IFERROR(_xlfn.XLOOKUP($A362,'Raw Data'!$A:$A,'Raw Data'!$AY:$AY),"")</f>
        <v/>
      </c>
      <c r="O362" s="231" t="str">
        <f>IFERROR(1-(SUMIF('Plant BD'!$B:$B,A362,'Plant BD'!$AE:$AE)/(AA362+SUMIF('Plant BD'!$B:$B,A362,'Plant BD'!$AE:$AE))),"")</f>
        <v/>
      </c>
      <c r="P362" s="231"/>
      <c r="Q362" s="232"/>
      <c r="R362" s="231" t="str">
        <f>IFERROR(1-(SUMIF('Grid BD'!$B:$B,$A362,'Grid BD'!$AD:$AD)/($AA362+SUMIF('Grid BD'!$B:$B,$A362,'Grid BD'!AD:AD))),"")</f>
        <v/>
      </c>
      <c r="S362" s="6"/>
      <c r="T362" s="232"/>
      <c r="U362" s="233" t="str">
        <f t="shared" si="25"/>
        <v/>
      </c>
      <c r="V362" s="233"/>
      <c r="W362" s="234" t="str">
        <f t="shared" si="23"/>
        <v/>
      </c>
      <c r="X362" s="227" t="str">
        <f>IFERROR(_xlfn.XLOOKUP($A362,'Raw Data'!$A:$A,'Raw Data'!$BA:$BA),"")</f>
        <v/>
      </c>
      <c r="Y362" s="227" t="str">
        <f>IFERROR(_xlfn.XLOOKUP($A362,'Raw Data'!$A:$A,'Raw Data'!BJ:BJ),"")</f>
        <v/>
      </c>
      <c r="Z362" s="227" t="str">
        <f>IFERROR(_xlfn.XLOOKUP($A362,'Raw Data'!$A:$A,'Raw Data'!BK:BK),"")</f>
        <v/>
      </c>
      <c r="AA362" s="227" t="str">
        <f>IFERROR(_xlfn.XLOOKUP($A362,'Raw Data'!$A:$A,'Raw Data'!BL:BL),"")</f>
        <v/>
      </c>
      <c r="AB362" s="227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27">
        <f>IFERROR(_xlfn.XLOOKUP($D362,'Modelling New'!$D:$D,'Modelling New'!$T:$T)*1000,"")</f>
        <v>124131.0967036221</v>
      </c>
      <c r="AE362" s="234">
        <f>IFERROR(_xlfn.XLOOKUP($D362,'Modelling New'!$D:$D,'Modelling New'!$O:$O),"")</f>
        <v>0.74023536153896807</v>
      </c>
      <c r="AF362" s="234">
        <f>IFERROR(_xlfn.XLOOKUP($D362,'Modelling New'!$D:$D,'Modelling New'!$W:$W),"")</f>
        <v>0.21281766644245331</v>
      </c>
      <c r="AG362" s="234">
        <f>IFERROR(_xlfn.XLOOKUP($D362,'Modelling New'!$D:$D,'Modelling New'!AE:AE),"")</f>
        <v>0.995</v>
      </c>
      <c r="AH362" s="234">
        <v>0.99750000000000005</v>
      </c>
      <c r="AI362" s="6"/>
      <c r="AJ362" s="6"/>
      <c r="AK362" s="6"/>
      <c r="AL362" s="6"/>
      <c r="AM362" s="6"/>
      <c r="AN362" s="231"/>
      <c r="AO362" s="234"/>
      <c r="AP362" s="234"/>
      <c r="AQ362" s="234"/>
      <c r="AR362" s="227">
        <f>IFERROR(_xlfn.XLOOKUP($D362,'Modelling New'!$D:$D,'Modelling New'!$N:$N),"")</f>
        <v>24.303100000000001</v>
      </c>
      <c r="AS362" s="227"/>
    </row>
    <row r="363" spans="1:45" x14ac:dyDescent="0.35">
      <c r="A363" s="226">
        <f t="shared" si="26"/>
        <v>46106</v>
      </c>
      <c r="B363" s="227">
        <f>YEAR(Daily_KPI[[#This Row],[Date]])+IF(MONTH(Daily_KPI[[#This Row],[Date]])&gt;=4,1,0)</f>
        <v>2026</v>
      </c>
      <c r="C363" s="6">
        <f>YEAR(Daily_KPI[[#This Row],[Date]])</f>
        <v>2026</v>
      </c>
      <c r="D363" s="228">
        <f>Daily_KPI[[#This Row],[Date]]-DAY(Daily_KPI[[#This Row],[Date]])+1</f>
        <v>46082</v>
      </c>
      <c r="E363" s="6">
        <f t="shared" si="24"/>
        <v>31</v>
      </c>
      <c r="F363" s="229" t="str">
        <f>IFERROR(_xlfn.XLOOKUP($A363,'Raw Data'!$A:$A,'Raw Data'!$BR:$BR),"")</f>
        <v/>
      </c>
      <c r="G363" s="230" t="str">
        <f>IFERROR(_xlfn.XLOOKUP($A363,'Raw Data'!$A:$A,'Raw Data'!$AO:$AO),"")</f>
        <v/>
      </c>
      <c r="H363" s="230"/>
      <c r="I363" s="230" t="str">
        <f>IFERROR(_xlfn.XLOOKUP($A363,'Raw Data'!$A:$A,'Raw Data'!$AR:$AR),"")</f>
        <v/>
      </c>
      <c r="J363" s="230"/>
      <c r="K363" s="230" t="str">
        <f>IFERROR(_xlfn.XLOOKUP($A363,'Raw Data'!$A:$A,'Raw Data'!$AV:$AV),"")</f>
        <v/>
      </c>
      <c r="L363" s="230" t="str">
        <f>IFERROR(_xlfn.XLOOKUP($A363,'Raw Data'!$A:$A,'Raw Data'!$AW:$AW),"")</f>
        <v/>
      </c>
      <c r="M363" s="230" t="str">
        <f>IFERROR(_xlfn.XLOOKUP($A363,'Raw Data'!$A:$A,'Raw Data'!$AX:$AX),"")</f>
        <v/>
      </c>
      <c r="N363" s="230" t="str">
        <f>IFERROR(_xlfn.XLOOKUP($A363,'Raw Data'!$A:$A,'Raw Data'!$AY:$AY),"")</f>
        <v/>
      </c>
      <c r="O363" s="231" t="str">
        <f>IFERROR(1-(SUMIF('Plant BD'!$B:$B,A363,'Plant BD'!$AE:$AE)/(AA363+SUMIF('Plant BD'!$B:$B,A363,'Plant BD'!$AE:$AE))),"")</f>
        <v/>
      </c>
      <c r="P363" s="231"/>
      <c r="Q363" s="232"/>
      <c r="R363" s="231" t="str">
        <f>IFERROR(1-(SUMIF('Grid BD'!$B:$B,$A363,'Grid BD'!$AD:$AD)/($AA363+SUMIF('Grid BD'!$B:$B,$A363,'Grid BD'!AD:AD))),"")</f>
        <v/>
      </c>
      <c r="S363" s="6"/>
      <c r="T363" s="232"/>
      <c r="U363" s="233" t="str">
        <f t="shared" si="25"/>
        <v/>
      </c>
      <c r="V363" s="233"/>
      <c r="W363" s="234" t="str">
        <f t="shared" ref="W363:W369" si="27">IFERROR(AA363/(24*AR363*1000),"")</f>
        <v/>
      </c>
      <c r="X363" s="227" t="str">
        <f>IFERROR(_xlfn.XLOOKUP($A363,'Raw Data'!$A:$A,'Raw Data'!$BA:$BA),"")</f>
        <v/>
      </c>
      <c r="Y363" s="227" t="str">
        <f>IFERROR(_xlfn.XLOOKUP($A363,'Raw Data'!$A:$A,'Raw Data'!BJ:BJ),"")</f>
        <v/>
      </c>
      <c r="Z363" s="227" t="str">
        <f>IFERROR(_xlfn.XLOOKUP($A363,'Raw Data'!$A:$A,'Raw Data'!BK:BK),"")</f>
        <v/>
      </c>
      <c r="AA363" s="227" t="str">
        <f>IFERROR(_xlfn.XLOOKUP($A363,'Raw Data'!$A:$A,'Raw Data'!BL:BL),"")</f>
        <v/>
      </c>
      <c r="AB363" s="227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27">
        <f>IFERROR(_xlfn.XLOOKUP($D363,'Modelling New'!$D:$D,'Modelling New'!$T:$T)*1000,"")</f>
        <v>124131.0967036221</v>
      </c>
      <c r="AE363" s="234">
        <f>IFERROR(_xlfn.XLOOKUP($D363,'Modelling New'!$D:$D,'Modelling New'!$O:$O),"")</f>
        <v>0.74023536153896807</v>
      </c>
      <c r="AF363" s="234">
        <f>IFERROR(_xlfn.XLOOKUP($D363,'Modelling New'!$D:$D,'Modelling New'!$W:$W),"")</f>
        <v>0.21281766644245331</v>
      </c>
      <c r="AG363" s="234">
        <f>IFERROR(_xlfn.XLOOKUP($D363,'Modelling New'!$D:$D,'Modelling New'!AE:AE),"")</f>
        <v>0.995</v>
      </c>
      <c r="AH363" s="234">
        <v>0.99750000000000005</v>
      </c>
      <c r="AI363" s="6"/>
      <c r="AJ363" s="6"/>
      <c r="AK363" s="6"/>
      <c r="AL363" s="6"/>
      <c r="AM363" s="6"/>
      <c r="AN363" s="231"/>
      <c r="AO363" s="234"/>
      <c r="AP363" s="234"/>
      <c r="AQ363" s="234"/>
      <c r="AR363" s="227">
        <f>IFERROR(_xlfn.XLOOKUP($D363,'Modelling New'!$D:$D,'Modelling New'!$N:$N),"")</f>
        <v>24.303100000000001</v>
      </c>
      <c r="AS363" s="227"/>
    </row>
    <row r="364" spans="1:45" x14ac:dyDescent="0.35">
      <c r="A364" s="226">
        <f t="shared" si="26"/>
        <v>46107</v>
      </c>
      <c r="B364" s="227">
        <f>YEAR(Daily_KPI[[#This Row],[Date]])+IF(MONTH(Daily_KPI[[#This Row],[Date]])&gt;=4,1,0)</f>
        <v>2026</v>
      </c>
      <c r="C364" s="6">
        <f>YEAR(Daily_KPI[[#This Row],[Date]])</f>
        <v>2026</v>
      </c>
      <c r="D364" s="228">
        <f>Daily_KPI[[#This Row],[Date]]-DAY(Daily_KPI[[#This Row],[Date]])+1</f>
        <v>46082</v>
      </c>
      <c r="E364" s="6">
        <f t="shared" si="24"/>
        <v>31</v>
      </c>
      <c r="F364" s="229" t="str">
        <f>IFERROR(_xlfn.XLOOKUP($A364,'Raw Data'!$A:$A,'Raw Data'!$BR:$BR),"")</f>
        <v/>
      </c>
      <c r="G364" s="230" t="str">
        <f>IFERROR(_xlfn.XLOOKUP($A364,'Raw Data'!$A:$A,'Raw Data'!$AO:$AO),"")</f>
        <v/>
      </c>
      <c r="H364" s="230"/>
      <c r="I364" s="230" t="str">
        <f>IFERROR(_xlfn.XLOOKUP($A364,'Raw Data'!$A:$A,'Raw Data'!$AR:$AR),"")</f>
        <v/>
      </c>
      <c r="J364" s="230"/>
      <c r="K364" s="230" t="str">
        <f>IFERROR(_xlfn.XLOOKUP($A364,'Raw Data'!$A:$A,'Raw Data'!$AV:$AV),"")</f>
        <v/>
      </c>
      <c r="L364" s="230" t="str">
        <f>IFERROR(_xlfn.XLOOKUP($A364,'Raw Data'!$A:$A,'Raw Data'!$AW:$AW),"")</f>
        <v/>
      </c>
      <c r="M364" s="230" t="str">
        <f>IFERROR(_xlfn.XLOOKUP($A364,'Raw Data'!$A:$A,'Raw Data'!$AX:$AX),"")</f>
        <v/>
      </c>
      <c r="N364" s="230" t="str">
        <f>IFERROR(_xlfn.XLOOKUP($A364,'Raw Data'!$A:$A,'Raw Data'!$AY:$AY),"")</f>
        <v/>
      </c>
      <c r="O364" s="231" t="str">
        <f>IFERROR(1-(SUMIF('Plant BD'!$B:$B,A364,'Plant BD'!$AE:$AE)/(AA364+SUMIF('Plant BD'!$B:$B,A364,'Plant BD'!$AE:$AE))),"")</f>
        <v/>
      </c>
      <c r="P364" s="231"/>
      <c r="Q364" s="232"/>
      <c r="R364" s="231" t="str">
        <f>IFERROR(1-(SUMIF('Grid BD'!$B:$B,$A364,'Grid BD'!$AD:$AD)/($AA364+SUMIF('Grid BD'!$B:$B,$A364,'Grid BD'!AD:AD))),"")</f>
        <v/>
      </c>
      <c r="S364" s="6"/>
      <c r="T364" s="232"/>
      <c r="U364" s="233" t="str">
        <f t="shared" si="25"/>
        <v/>
      </c>
      <c r="V364" s="233"/>
      <c r="W364" s="234" t="str">
        <f t="shared" si="27"/>
        <v/>
      </c>
      <c r="X364" s="227" t="str">
        <f>IFERROR(_xlfn.XLOOKUP($A364,'Raw Data'!$A:$A,'Raw Data'!$BA:$BA),"")</f>
        <v/>
      </c>
      <c r="Y364" s="227" t="str">
        <f>IFERROR(_xlfn.XLOOKUP($A364,'Raw Data'!$A:$A,'Raw Data'!BJ:BJ),"")</f>
        <v/>
      </c>
      <c r="Z364" s="227" t="str">
        <f>IFERROR(_xlfn.XLOOKUP($A364,'Raw Data'!$A:$A,'Raw Data'!BK:BK),"")</f>
        <v/>
      </c>
      <c r="AA364" s="227" t="str">
        <f>IFERROR(_xlfn.XLOOKUP($A364,'Raw Data'!$A:$A,'Raw Data'!BL:BL),"")</f>
        <v/>
      </c>
      <c r="AB364" s="227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27">
        <f>IFERROR(_xlfn.XLOOKUP($D364,'Modelling New'!$D:$D,'Modelling New'!$T:$T)*1000,"")</f>
        <v>124131.0967036221</v>
      </c>
      <c r="AE364" s="234">
        <f>IFERROR(_xlfn.XLOOKUP($D364,'Modelling New'!$D:$D,'Modelling New'!$O:$O),"")</f>
        <v>0.74023536153896807</v>
      </c>
      <c r="AF364" s="234">
        <f>IFERROR(_xlfn.XLOOKUP($D364,'Modelling New'!$D:$D,'Modelling New'!$W:$W),"")</f>
        <v>0.21281766644245331</v>
      </c>
      <c r="AG364" s="234">
        <f>IFERROR(_xlfn.XLOOKUP($D364,'Modelling New'!$D:$D,'Modelling New'!AE:AE),"")</f>
        <v>0.995</v>
      </c>
      <c r="AH364" s="234">
        <v>0.99750000000000005</v>
      </c>
      <c r="AI364" s="6"/>
      <c r="AJ364" s="6"/>
      <c r="AK364" s="6"/>
      <c r="AL364" s="6"/>
      <c r="AM364" s="6"/>
      <c r="AN364" s="231"/>
      <c r="AO364" s="234"/>
      <c r="AP364" s="234"/>
      <c r="AQ364" s="234"/>
      <c r="AR364" s="227">
        <f>IFERROR(_xlfn.XLOOKUP($D364,'Modelling New'!$D:$D,'Modelling New'!$N:$N),"")</f>
        <v>24.303100000000001</v>
      </c>
      <c r="AS364" s="227"/>
    </row>
    <row r="365" spans="1:45" x14ac:dyDescent="0.35">
      <c r="A365" s="226">
        <f t="shared" si="26"/>
        <v>46108</v>
      </c>
      <c r="B365" s="227">
        <f>YEAR(Daily_KPI[[#This Row],[Date]])+IF(MONTH(Daily_KPI[[#This Row],[Date]])&gt;=4,1,0)</f>
        <v>2026</v>
      </c>
      <c r="C365" s="6">
        <f>YEAR(Daily_KPI[[#This Row],[Date]])</f>
        <v>2026</v>
      </c>
      <c r="D365" s="228">
        <f>Daily_KPI[[#This Row],[Date]]-DAY(Daily_KPI[[#This Row],[Date]])+1</f>
        <v>46082</v>
      </c>
      <c r="E365" s="6">
        <f t="shared" si="24"/>
        <v>31</v>
      </c>
      <c r="F365" s="229" t="str">
        <f>IFERROR(_xlfn.XLOOKUP($A365,'Raw Data'!$A:$A,'Raw Data'!$BR:$BR),"")</f>
        <v/>
      </c>
      <c r="G365" s="230" t="str">
        <f>IFERROR(_xlfn.XLOOKUP($A365,'Raw Data'!$A:$A,'Raw Data'!$AO:$AO),"")</f>
        <v/>
      </c>
      <c r="H365" s="230"/>
      <c r="I365" s="230" t="str">
        <f>IFERROR(_xlfn.XLOOKUP($A365,'Raw Data'!$A:$A,'Raw Data'!$AR:$AR),"")</f>
        <v/>
      </c>
      <c r="J365" s="230"/>
      <c r="K365" s="230" t="str">
        <f>IFERROR(_xlfn.XLOOKUP($A365,'Raw Data'!$A:$A,'Raw Data'!$AV:$AV),"")</f>
        <v/>
      </c>
      <c r="L365" s="230" t="str">
        <f>IFERROR(_xlfn.XLOOKUP($A365,'Raw Data'!$A:$A,'Raw Data'!$AW:$AW),"")</f>
        <v/>
      </c>
      <c r="M365" s="230" t="str">
        <f>IFERROR(_xlfn.XLOOKUP($A365,'Raw Data'!$A:$A,'Raw Data'!$AX:$AX),"")</f>
        <v/>
      </c>
      <c r="N365" s="230" t="str">
        <f>IFERROR(_xlfn.XLOOKUP($A365,'Raw Data'!$A:$A,'Raw Data'!$AY:$AY),"")</f>
        <v/>
      </c>
      <c r="O365" s="231" t="str">
        <f>IFERROR(1-(SUMIF('Plant BD'!$B:$B,A365,'Plant BD'!$AE:$AE)/(AA365+SUMIF('Plant BD'!$B:$B,A365,'Plant BD'!$AE:$AE))),"")</f>
        <v/>
      </c>
      <c r="P365" s="231"/>
      <c r="Q365" s="232"/>
      <c r="R365" s="231" t="str">
        <f>IFERROR(1-(SUMIF('Grid BD'!$B:$B,$A365,'Grid BD'!$AD:$AD)/($AA365+SUMIF('Grid BD'!$B:$B,$A365,'Grid BD'!AD:AD))),"")</f>
        <v/>
      </c>
      <c r="S365" s="6"/>
      <c r="T365" s="232"/>
      <c r="U365" s="233" t="str">
        <f t="shared" si="25"/>
        <v/>
      </c>
      <c r="V365" s="233"/>
      <c r="W365" s="234" t="str">
        <f t="shared" si="27"/>
        <v/>
      </c>
      <c r="X365" s="227" t="str">
        <f>IFERROR(_xlfn.XLOOKUP($A365,'Raw Data'!$A:$A,'Raw Data'!$BA:$BA),"")</f>
        <v/>
      </c>
      <c r="Y365" s="227" t="str">
        <f>IFERROR(_xlfn.XLOOKUP($A365,'Raw Data'!$A:$A,'Raw Data'!BJ:BJ),"")</f>
        <v/>
      </c>
      <c r="Z365" s="227" t="str">
        <f>IFERROR(_xlfn.XLOOKUP($A365,'Raw Data'!$A:$A,'Raw Data'!BK:BK),"")</f>
        <v/>
      </c>
      <c r="AA365" s="227" t="str">
        <f>IFERROR(_xlfn.XLOOKUP($A365,'Raw Data'!$A:$A,'Raw Data'!BL:BL),"")</f>
        <v/>
      </c>
      <c r="AB365" s="227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27">
        <f>IFERROR(_xlfn.XLOOKUP($D365,'Modelling New'!$D:$D,'Modelling New'!$T:$T)*1000,"")</f>
        <v>124131.0967036221</v>
      </c>
      <c r="AE365" s="234">
        <f>IFERROR(_xlfn.XLOOKUP($D365,'Modelling New'!$D:$D,'Modelling New'!$O:$O),"")</f>
        <v>0.74023536153896807</v>
      </c>
      <c r="AF365" s="234">
        <f>IFERROR(_xlfn.XLOOKUP($D365,'Modelling New'!$D:$D,'Modelling New'!$W:$W),"")</f>
        <v>0.21281766644245331</v>
      </c>
      <c r="AG365" s="234">
        <f>IFERROR(_xlfn.XLOOKUP($D365,'Modelling New'!$D:$D,'Modelling New'!AE:AE),"")</f>
        <v>0.995</v>
      </c>
      <c r="AH365" s="234">
        <v>0.99750000000000005</v>
      </c>
      <c r="AI365" s="6"/>
      <c r="AJ365" s="6"/>
      <c r="AK365" s="6"/>
      <c r="AL365" s="6"/>
      <c r="AM365" s="6"/>
      <c r="AN365" s="231"/>
      <c r="AO365" s="234"/>
      <c r="AP365" s="234"/>
      <c r="AQ365" s="234"/>
      <c r="AR365" s="227">
        <f>IFERROR(_xlfn.XLOOKUP($D365,'Modelling New'!$D:$D,'Modelling New'!$N:$N),"")</f>
        <v>24.303100000000001</v>
      </c>
      <c r="AS365" s="227"/>
    </row>
    <row r="366" spans="1:45" x14ac:dyDescent="0.35">
      <c r="A366" s="226">
        <f t="shared" si="26"/>
        <v>46109</v>
      </c>
      <c r="B366" s="227">
        <f>YEAR(Daily_KPI[[#This Row],[Date]])+IF(MONTH(Daily_KPI[[#This Row],[Date]])&gt;=4,1,0)</f>
        <v>2026</v>
      </c>
      <c r="C366" s="6">
        <f>YEAR(Daily_KPI[[#This Row],[Date]])</f>
        <v>2026</v>
      </c>
      <c r="D366" s="228">
        <f>Daily_KPI[[#This Row],[Date]]-DAY(Daily_KPI[[#This Row],[Date]])+1</f>
        <v>46082</v>
      </c>
      <c r="E366" s="6">
        <f t="shared" si="24"/>
        <v>31</v>
      </c>
      <c r="F366" s="229" t="str">
        <f>IFERROR(_xlfn.XLOOKUP($A366,'Raw Data'!$A:$A,'Raw Data'!$BR:$BR),"")</f>
        <v/>
      </c>
      <c r="G366" s="230" t="str">
        <f>IFERROR(_xlfn.XLOOKUP($A366,'Raw Data'!$A:$A,'Raw Data'!$AO:$AO),"")</f>
        <v/>
      </c>
      <c r="H366" s="230"/>
      <c r="I366" s="230" t="str">
        <f>IFERROR(_xlfn.XLOOKUP($A366,'Raw Data'!$A:$A,'Raw Data'!$AR:$AR),"")</f>
        <v/>
      </c>
      <c r="J366" s="230"/>
      <c r="K366" s="230" t="str">
        <f>IFERROR(_xlfn.XLOOKUP($A366,'Raw Data'!$A:$A,'Raw Data'!$AV:$AV),"")</f>
        <v/>
      </c>
      <c r="L366" s="230" t="str">
        <f>IFERROR(_xlfn.XLOOKUP($A366,'Raw Data'!$A:$A,'Raw Data'!$AW:$AW),"")</f>
        <v/>
      </c>
      <c r="M366" s="230" t="str">
        <f>IFERROR(_xlfn.XLOOKUP($A366,'Raw Data'!$A:$A,'Raw Data'!$AX:$AX),"")</f>
        <v/>
      </c>
      <c r="N366" s="230" t="str">
        <f>IFERROR(_xlfn.XLOOKUP($A366,'Raw Data'!$A:$A,'Raw Data'!$AY:$AY),"")</f>
        <v/>
      </c>
      <c r="O366" s="231" t="str">
        <f>IFERROR(1-(SUMIF('Plant BD'!$B:$B,A366,'Plant BD'!$AE:$AE)/(AA366+SUMIF('Plant BD'!$B:$B,A366,'Plant BD'!$AE:$AE))),"")</f>
        <v/>
      </c>
      <c r="P366" s="231"/>
      <c r="Q366" s="232"/>
      <c r="R366" s="231" t="str">
        <f>IFERROR(1-(SUMIF('Grid BD'!$B:$B,$A366,'Grid BD'!$AD:$AD)/($AA366+SUMIF('Grid BD'!$B:$B,$A366,'Grid BD'!AD:AD))),"")</f>
        <v/>
      </c>
      <c r="S366" s="6"/>
      <c r="T366" s="232"/>
      <c r="U366" s="233" t="str">
        <f t="shared" si="25"/>
        <v/>
      </c>
      <c r="V366" s="233"/>
      <c r="W366" s="234" t="str">
        <f t="shared" si="27"/>
        <v/>
      </c>
      <c r="X366" s="227" t="str">
        <f>IFERROR(_xlfn.XLOOKUP($A366,'Raw Data'!$A:$A,'Raw Data'!$BA:$BA),"")</f>
        <v/>
      </c>
      <c r="Y366" s="227" t="str">
        <f>IFERROR(_xlfn.XLOOKUP($A366,'Raw Data'!$A:$A,'Raw Data'!BJ:BJ),"")</f>
        <v/>
      </c>
      <c r="Z366" s="227" t="str">
        <f>IFERROR(_xlfn.XLOOKUP($A366,'Raw Data'!$A:$A,'Raw Data'!BK:BK),"")</f>
        <v/>
      </c>
      <c r="AA366" s="227" t="str">
        <f>IFERROR(_xlfn.XLOOKUP($A366,'Raw Data'!$A:$A,'Raw Data'!BL:BL),"")</f>
        <v/>
      </c>
      <c r="AB366" s="227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27">
        <f>IFERROR(_xlfn.XLOOKUP($D366,'Modelling New'!$D:$D,'Modelling New'!$T:$T)*1000,"")</f>
        <v>124131.0967036221</v>
      </c>
      <c r="AE366" s="234">
        <f>IFERROR(_xlfn.XLOOKUP($D366,'Modelling New'!$D:$D,'Modelling New'!$O:$O),"")</f>
        <v>0.74023536153896807</v>
      </c>
      <c r="AF366" s="234">
        <f>IFERROR(_xlfn.XLOOKUP($D366,'Modelling New'!$D:$D,'Modelling New'!$W:$W),"")</f>
        <v>0.21281766644245331</v>
      </c>
      <c r="AG366" s="234">
        <f>IFERROR(_xlfn.XLOOKUP($D366,'Modelling New'!$D:$D,'Modelling New'!AE:AE),"")</f>
        <v>0.995</v>
      </c>
      <c r="AH366" s="234">
        <v>0.99750000000000005</v>
      </c>
      <c r="AI366" s="6"/>
      <c r="AJ366" s="6"/>
      <c r="AK366" s="6"/>
      <c r="AL366" s="6"/>
      <c r="AM366" s="6"/>
      <c r="AN366" s="231"/>
      <c r="AO366" s="234"/>
      <c r="AP366" s="234"/>
      <c r="AQ366" s="234"/>
      <c r="AR366" s="227">
        <f>IFERROR(_xlfn.XLOOKUP($D366,'Modelling New'!$D:$D,'Modelling New'!$N:$N),"")</f>
        <v>24.303100000000001</v>
      </c>
      <c r="AS366" s="227"/>
    </row>
    <row r="367" spans="1:45" x14ac:dyDescent="0.35">
      <c r="A367" s="226">
        <f t="shared" si="26"/>
        <v>46110</v>
      </c>
      <c r="B367" s="227">
        <f>YEAR(Daily_KPI[[#This Row],[Date]])+IF(MONTH(Daily_KPI[[#This Row],[Date]])&gt;=4,1,0)</f>
        <v>2026</v>
      </c>
      <c r="C367" s="6">
        <f>YEAR(Daily_KPI[[#This Row],[Date]])</f>
        <v>2026</v>
      </c>
      <c r="D367" s="228">
        <f>Daily_KPI[[#This Row],[Date]]-DAY(Daily_KPI[[#This Row],[Date]])+1</f>
        <v>46082</v>
      </c>
      <c r="E367" s="6">
        <f t="shared" si="24"/>
        <v>31</v>
      </c>
      <c r="F367" s="229" t="str">
        <f>IFERROR(_xlfn.XLOOKUP($A367,'Raw Data'!$A:$A,'Raw Data'!$BR:$BR),"")</f>
        <v/>
      </c>
      <c r="G367" s="230" t="str">
        <f>IFERROR(_xlfn.XLOOKUP($A367,'Raw Data'!$A:$A,'Raw Data'!$AO:$AO),"")</f>
        <v/>
      </c>
      <c r="H367" s="230"/>
      <c r="I367" s="230" t="str">
        <f>IFERROR(_xlfn.XLOOKUP($A367,'Raw Data'!$A:$A,'Raw Data'!$AR:$AR),"")</f>
        <v/>
      </c>
      <c r="J367" s="230"/>
      <c r="K367" s="230" t="str">
        <f>IFERROR(_xlfn.XLOOKUP($A367,'Raw Data'!$A:$A,'Raw Data'!$AV:$AV),"")</f>
        <v/>
      </c>
      <c r="L367" s="230" t="str">
        <f>IFERROR(_xlfn.XLOOKUP($A367,'Raw Data'!$A:$A,'Raw Data'!$AW:$AW),"")</f>
        <v/>
      </c>
      <c r="M367" s="230" t="str">
        <f>IFERROR(_xlfn.XLOOKUP($A367,'Raw Data'!$A:$A,'Raw Data'!$AX:$AX),"")</f>
        <v/>
      </c>
      <c r="N367" s="230" t="str">
        <f>IFERROR(_xlfn.XLOOKUP($A367,'Raw Data'!$A:$A,'Raw Data'!$AY:$AY),"")</f>
        <v/>
      </c>
      <c r="O367" s="231" t="str">
        <f>IFERROR(1-(SUMIF('Plant BD'!$B:$B,A367,'Plant BD'!$AE:$AE)/(AA367+SUMIF('Plant BD'!$B:$B,A367,'Plant BD'!$AE:$AE))),"")</f>
        <v/>
      </c>
      <c r="P367" s="231"/>
      <c r="Q367" s="232"/>
      <c r="R367" s="231" t="str">
        <f>IFERROR(1-(SUMIF('Grid BD'!$B:$B,$A367,'Grid BD'!$AD:$AD)/($AA367+SUMIF('Grid BD'!$B:$B,$A367,'Grid BD'!AD:AD))),"")</f>
        <v/>
      </c>
      <c r="S367" s="6"/>
      <c r="T367" s="232"/>
      <c r="U367" s="233" t="str">
        <f t="shared" si="25"/>
        <v/>
      </c>
      <c r="V367" s="233"/>
      <c r="W367" s="234" t="str">
        <f t="shared" si="27"/>
        <v/>
      </c>
      <c r="X367" s="227" t="str">
        <f>IFERROR(_xlfn.XLOOKUP($A367,'Raw Data'!$A:$A,'Raw Data'!$BA:$BA),"")</f>
        <v/>
      </c>
      <c r="Y367" s="227" t="str">
        <f>IFERROR(_xlfn.XLOOKUP($A367,'Raw Data'!$A:$A,'Raw Data'!BJ:BJ),"")</f>
        <v/>
      </c>
      <c r="Z367" s="227" t="str">
        <f>IFERROR(_xlfn.XLOOKUP($A367,'Raw Data'!$A:$A,'Raw Data'!BK:BK),"")</f>
        <v/>
      </c>
      <c r="AA367" s="227" t="str">
        <f>IFERROR(_xlfn.XLOOKUP($A367,'Raw Data'!$A:$A,'Raw Data'!BL:BL),"")</f>
        <v/>
      </c>
      <c r="AB367" s="227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27">
        <f>IFERROR(_xlfn.XLOOKUP($D367,'Modelling New'!$D:$D,'Modelling New'!$T:$T)*1000,"")</f>
        <v>124131.0967036221</v>
      </c>
      <c r="AE367" s="234">
        <f>IFERROR(_xlfn.XLOOKUP($D367,'Modelling New'!$D:$D,'Modelling New'!$O:$O),"")</f>
        <v>0.74023536153896807</v>
      </c>
      <c r="AF367" s="234">
        <f>IFERROR(_xlfn.XLOOKUP($D367,'Modelling New'!$D:$D,'Modelling New'!$W:$W),"")</f>
        <v>0.21281766644245331</v>
      </c>
      <c r="AG367" s="234">
        <f>IFERROR(_xlfn.XLOOKUP($D367,'Modelling New'!$D:$D,'Modelling New'!AE:AE),"")</f>
        <v>0.995</v>
      </c>
      <c r="AH367" s="234">
        <v>0.99750000000000005</v>
      </c>
      <c r="AI367" s="6"/>
      <c r="AJ367" s="6"/>
      <c r="AK367" s="6"/>
      <c r="AL367" s="6"/>
      <c r="AM367" s="6"/>
      <c r="AN367" s="231"/>
      <c r="AO367" s="234"/>
      <c r="AP367" s="234"/>
      <c r="AQ367" s="234"/>
      <c r="AR367" s="227">
        <f>IFERROR(_xlfn.XLOOKUP($D367,'Modelling New'!$D:$D,'Modelling New'!$N:$N),"")</f>
        <v>24.303100000000001</v>
      </c>
      <c r="AS367" s="227"/>
    </row>
    <row r="368" spans="1:45" x14ac:dyDescent="0.35">
      <c r="A368" s="226">
        <f t="shared" si="26"/>
        <v>46111</v>
      </c>
      <c r="B368" s="227">
        <f>YEAR(Daily_KPI[[#This Row],[Date]])+IF(MONTH(Daily_KPI[[#This Row],[Date]])&gt;=4,1,0)</f>
        <v>2026</v>
      </c>
      <c r="C368" s="6">
        <f>YEAR(Daily_KPI[[#This Row],[Date]])</f>
        <v>2026</v>
      </c>
      <c r="D368" s="228">
        <f>Daily_KPI[[#This Row],[Date]]-DAY(Daily_KPI[[#This Row],[Date]])+1</f>
        <v>46082</v>
      </c>
      <c r="E368" s="6">
        <f t="shared" si="24"/>
        <v>31</v>
      </c>
      <c r="F368" s="229" t="str">
        <f>IFERROR(_xlfn.XLOOKUP($A368,'Raw Data'!$A:$A,'Raw Data'!$BR:$BR),"")</f>
        <v/>
      </c>
      <c r="G368" s="230" t="str">
        <f>IFERROR(_xlfn.XLOOKUP($A368,'Raw Data'!$A:$A,'Raw Data'!$AO:$AO),"")</f>
        <v/>
      </c>
      <c r="H368" s="230"/>
      <c r="I368" s="230" t="str">
        <f>IFERROR(_xlfn.XLOOKUP($A368,'Raw Data'!$A:$A,'Raw Data'!$AR:$AR),"")</f>
        <v/>
      </c>
      <c r="J368" s="230"/>
      <c r="K368" s="230" t="str">
        <f>IFERROR(_xlfn.XLOOKUP($A368,'Raw Data'!$A:$A,'Raw Data'!$AV:$AV),"")</f>
        <v/>
      </c>
      <c r="L368" s="230" t="str">
        <f>IFERROR(_xlfn.XLOOKUP($A368,'Raw Data'!$A:$A,'Raw Data'!$AW:$AW),"")</f>
        <v/>
      </c>
      <c r="M368" s="230" t="str">
        <f>IFERROR(_xlfn.XLOOKUP($A368,'Raw Data'!$A:$A,'Raw Data'!$AX:$AX),"")</f>
        <v/>
      </c>
      <c r="N368" s="230" t="str">
        <f>IFERROR(_xlfn.XLOOKUP($A368,'Raw Data'!$A:$A,'Raw Data'!$AY:$AY),"")</f>
        <v/>
      </c>
      <c r="O368" s="231" t="str">
        <f>IFERROR(1-(SUMIF('Plant BD'!$B:$B,A368,'Plant BD'!$AE:$AE)/(AA368+SUMIF('Plant BD'!$B:$B,A368,'Plant BD'!$AE:$AE))),"")</f>
        <v/>
      </c>
      <c r="P368" s="231"/>
      <c r="Q368" s="232"/>
      <c r="R368" s="231" t="str">
        <f>IFERROR(1-(SUMIF('Grid BD'!$B:$B,$A368,'Grid BD'!$AD:$AD)/($AA368+SUMIF('Grid BD'!$B:$B,$A368,'Grid BD'!AD:AD))),"")</f>
        <v/>
      </c>
      <c r="S368" s="6"/>
      <c r="T368" s="232"/>
      <c r="U368" s="233" t="str">
        <f t="shared" si="25"/>
        <v/>
      </c>
      <c r="V368" s="233"/>
      <c r="W368" s="234" t="str">
        <f t="shared" si="27"/>
        <v/>
      </c>
      <c r="X368" s="227" t="str">
        <f>IFERROR(_xlfn.XLOOKUP($A368,'Raw Data'!$A:$A,'Raw Data'!$BA:$BA),"")</f>
        <v/>
      </c>
      <c r="Y368" s="227" t="str">
        <f>IFERROR(_xlfn.XLOOKUP($A368,'Raw Data'!$A:$A,'Raw Data'!BJ:BJ),"")</f>
        <v/>
      </c>
      <c r="Z368" s="227" t="str">
        <f>IFERROR(_xlfn.XLOOKUP($A368,'Raw Data'!$A:$A,'Raw Data'!BK:BK),"")</f>
        <v/>
      </c>
      <c r="AA368" s="227" t="str">
        <f>IFERROR(_xlfn.XLOOKUP($A368,'Raw Data'!$A:$A,'Raw Data'!BL:BL),"")</f>
        <v/>
      </c>
      <c r="AB368" s="227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27">
        <f>IFERROR(_xlfn.XLOOKUP($D368,'Modelling New'!$D:$D,'Modelling New'!$T:$T)*1000,"")</f>
        <v>124131.0967036221</v>
      </c>
      <c r="AE368" s="234">
        <f>IFERROR(_xlfn.XLOOKUP($D368,'Modelling New'!$D:$D,'Modelling New'!$O:$O),"")</f>
        <v>0.74023536153896807</v>
      </c>
      <c r="AF368" s="234">
        <f>IFERROR(_xlfn.XLOOKUP($D368,'Modelling New'!$D:$D,'Modelling New'!$W:$W),"")</f>
        <v>0.21281766644245331</v>
      </c>
      <c r="AG368" s="234">
        <f>IFERROR(_xlfn.XLOOKUP($D368,'Modelling New'!$D:$D,'Modelling New'!AE:AE),"")</f>
        <v>0.995</v>
      </c>
      <c r="AH368" s="234">
        <v>0.99750000000000005</v>
      </c>
      <c r="AI368" s="6"/>
      <c r="AJ368" s="6"/>
      <c r="AK368" s="6"/>
      <c r="AL368" s="6"/>
      <c r="AM368" s="6"/>
      <c r="AN368" s="231"/>
      <c r="AO368" s="234"/>
      <c r="AP368" s="234"/>
      <c r="AQ368" s="234"/>
      <c r="AR368" s="227">
        <f>IFERROR(_xlfn.XLOOKUP($D368,'Modelling New'!$D:$D,'Modelling New'!$N:$N),"")</f>
        <v>24.303100000000001</v>
      </c>
      <c r="AS368" s="227"/>
    </row>
    <row r="369" spans="1:45" x14ac:dyDescent="0.35">
      <c r="A369" s="226">
        <f t="shared" si="26"/>
        <v>46112</v>
      </c>
      <c r="B369" s="227">
        <f>YEAR(Daily_KPI[[#This Row],[Date]])+IF(MONTH(Daily_KPI[[#This Row],[Date]])&gt;=4,1,0)</f>
        <v>2026</v>
      </c>
      <c r="C369" s="6">
        <f>YEAR(Daily_KPI[[#This Row],[Date]])</f>
        <v>2026</v>
      </c>
      <c r="D369" s="228">
        <f>Daily_KPI[[#This Row],[Date]]-DAY(Daily_KPI[[#This Row],[Date]])+1</f>
        <v>46082</v>
      </c>
      <c r="E369" s="6">
        <f t="shared" si="24"/>
        <v>31</v>
      </c>
      <c r="F369" s="229" t="str">
        <f>IFERROR(_xlfn.XLOOKUP($A369,'Raw Data'!$A:$A,'Raw Data'!$BR:$BR),"")</f>
        <v/>
      </c>
      <c r="G369" s="230" t="str">
        <f>IFERROR(_xlfn.XLOOKUP($A369,'Raw Data'!$A:$A,'Raw Data'!$AO:$AO),"")</f>
        <v/>
      </c>
      <c r="H369" s="230"/>
      <c r="I369" s="230" t="str">
        <f>IFERROR(_xlfn.XLOOKUP($A369,'Raw Data'!$A:$A,'Raw Data'!$AR:$AR),"")</f>
        <v/>
      </c>
      <c r="J369" s="230"/>
      <c r="K369" s="230" t="str">
        <f>IFERROR(_xlfn.XLOOKUP($A369,'Raw Data'!$A:$A,'Raw Data'!$AV:$AV),"")</f>
        <v/>
      </c>
      <c r="L369" s="230" t="str">
        <f>IFERROR(_xlfn.XLOOKUP($A369,'Raw Data'!$A:$A,'Raw Data'!$AW:$AW),"")</f>
        <v/>
      </c>
      <c r="M369" s="230" t="str">
        <f>IFERROR(_xlfn.XLOOKUP($A369,'Raw Data'!$A:$A,'Raw Data'!$AX:$AX),"")</f>
        <v/>
      </c>
      <c r="N369" s="230" t="str">
        <f>IFERROR(_xlfn.XLOOKUP($A369,'Raw Data'!$A:$A,'Raw Data'!$AY:$AY),"")</f>
        <v/>
      </c>
      <c r="O369" s="231" t="str">
        <f>IFERROR(1-(SUMIF('Plant BD'!$B:$B,A369,'Plant BD'!$AE:$AE)/(AA369+SUMIF('Plant BD'!$B:$B,A369,'Plant BD'!$AE:$AE))),"")</f>
        <v/>
      </c>
      <c r="P369" s="231"/>
      <c r="Q369" s="232"/>
      <c r="R369" s="231" t="str">
        <f>IFERROR(1-(SUMIF('Grid BD'!$B:$B,$A369,'Grid BD'!$AD:$AD)/($AA369+SUMIF('Grid BD'!$B:$B,$A369,'Grid BD'!AD:AD))),"")</f>
        <v/>
      </c>
      <c r="S369" s="6"/>
      <c r="T369" s="232"/>
      <c r="U369" s="233" t="str">
        <f t="shared" si="25"/>
        <v/>
      </c>
      <c r="V369" s="233"/>
      <c r="W369" s="234" t="str">
        <f t="shared" si="27"/>
        <v/>
      </c>
      <c r="X369" s="227" t="str">
        <f>IFERROR(_xlfn.XLOOKUP($A369,'Raw Data'!$A:$A,'Raw Data'!$BA:$BA),"")</f>
        <v/>
      </c>
      <c r="Y369" s="227" t="str">
        <f>IFERROR(_xlfn.XLOOKUP($A369,'Raw Data'!$A:$A,'Raw Data'!BJ:BJ),"")</f>
        <v/>
      </c>
      <c r="Z369" s="227" t="str">
        <f>IFERROR(_xlfn.XLOOKUP($A369,'Raw Data'!$A:$A,'Raw Data'!BK:BK),"")</f>
        <v/>
      </c>
      <c r="AA369" s="227" t="str">
        <f>IFERROR(_xlfn.XLOOKUP($A369,'Raw Data'!$A:$A,'Raw Data'!BL:BL),"")</f>
        <v/>
      </c>
      <c r="AB369" s="227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27">
        <f>IFERROR(_xlfn.XLOOKUP($D369,'Modelling New'!$D:$D,'Modelling New'!$T:$T)*1000,"")</f>
        <v>124131.0967036221</v>
      </c>
      <c r="AE369" s="234">
        <f>IFERROR(_xlfn.XLOOKUP($D369,'Modelling New'!$D:$D,'Modelling New'!$O:$O),"")</f>
        <v>0.74023536153896807</v>
      </c>
      <c r="AF369" s="234">
        <f>IFERROR(_xlfn.XLOOKUP($D369,'Modelling New'!$D:$D,'Modelling New'!$W:$W),"")</f>
        <v>0.21281766644245331</v>
      </c>
      <c r="AG369" s="234">
        <f>IFERROR(_xlfn.XLOOKUP($D369,'Modelling New'!$D:$D,'Modelling New'!AE:AE),"")</f>
        <v>0.995</v>
      </c>
      <c r="AH369" s="234">
        <v>0.99750000000000005</v>
      </c>
      <c r="AI369" s="6"/>
      <c r="AJ369" s="6"/>
      <c r="AK369" s="6"/>
      <c r="AL369" s="6"/>
      <c r="AM369" s="6"/>
      <c r="AN369" s="231"/>
      <c r="AO369" s="234"/>
      <c r="AP369" s="234"/>
      <c r="AQ369" s="234"/>
      <c r="AR369" s="227">
        <f>IFERROR(_xlfn.XLOOKUP($D369,'Modelling New'!$D:$D,'Modelling New'!$N:$N),"")</f>
        <v>24.303100000000001</v>
      </c>
      <c r="AS369" s="227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topRight" activeCell="H1" sqref="H1"/>
      <selection pane="bottomLeft" activeCell="F2" sqref="F2"/>
      <selection pane="bottomRight" activeCell="M40" sqref="M40"/>
    </sheetView>
  </sheetViews>
  <sheetFormatPr defaultColWidth="8.81640625" defaultRowHeight="14.5" x14ac:dyDescent="0.35"/>
  <cols>
    <col min="1" max="2" width="11.1796875" customWidth="1"/>
    <col min="3" max="3" width="12.453125" customWidth="1"/>
    <col min="4" max="4" width="14.1796875" customWidth="1"/>
    <col min="5" max="5" width="13" customWidth="1"/>
    <col min="6" max="6" width="15.1796875" customWidth="1"/>
    <col min="7" max="7" width="9.453125" customWidth="1"/>
    <col min="8" max="8" width="14.453125" customWidth="1"/>
    <col min="9" max="9" width="9.453125" customWidth="1"/>
    <col min="10" max="10" width="12.453125" customWidth="1"/>
    <col min="11" max="11" width="9.81640625" customWidth="1"/>
    <col min="12" max="12" width="10.1796875" customWidth="1"/>
    <col min="13" max="13" width="11.453125" customWidth="1"/>
    <col min="14" max="16" width="9.453125" customWidth="1"/>
    <col min="17" max="17" width="10.1796875" customWidth="1"/>
    <col min="18" max="26" width="9.453125" customWidth="1"/>
    <col min="27" max="27" width="8.81640625" customWidth="1"/>
  </cols>
  <sheetData>
    <row r="1" spans="1:26" s="3" customFormat="1" ht="24" x14ac:dyDescent="0.35">
      <c r="A1" s="60" t="s">
        <v>116</v>
      </c>
      <c r="B1" s="60" t="s">
        <v>117</v>
      </c>
      <c r="C1" s="60" t="s">
        <v>118</v>
      </c>
      <c r="D1" s="60" t="s">
        <v>119</v>
      </c>
      <c r="E1" s="60" t="s">
        <v>120</v>
      </c>
      <c r="F1" s="61" t="s">
        <v>72</v>
      </c>
      <c r="G1" s="167" t="s">
        <v>121</v>
      </c>
      <c r="H1" s="167" t="s">
        <v>122</v>
      </c>
      <c r="I1" s="167" t="s">
        <v>123</v>
      </c>
      <c r="J1" s="167" t="s">
        <v>124</v>
      </c>
      <c r="K1" s="167" t="s">
        <v>125</v>
      </c>
      <c r="L1" s="167" t="s">
        <v>126</v>
      </c>
      <c r="M1" s="167" t="s">
        <v>127</v>
      </c>
      <c r="N1" s="167" t="s">
        <v>128</v>
      </c>
      <c r="O1" s="167" t="s">
        <v>129</v>
      </c>
      <c r="P1" s="167" t="s">
        <v>130</v>
      </c>
      <c r="Q1" s="167" t="s">
        <v>131</v>
      </c>
      <c r="R1" s="167" t="s">
        <v>132</v>
      </c>
      <c r="S1" s="167" t="s">
        <v>133</v>
      </c>
      <c r="T1" s="167" t="s">
        <v>134</v>
      </c>
      <c r="U1" s="167" t="s">
        <v>135</v>
      </c>
      <c r="V1" s="167" t="s">
        <v>136</v>
      </c>
      <c r="W1" s="167" t="s">
        <v>137</v>
      </c>
      <c r="X1" s="167" t="s">
        <v>138</v>
      </c>
      <c r="Y1" s="167" t="s">
        <v>139</v>
      </c>
      <c r="Z1" s="167" t="s">
        <v>140</v>
      </c>
    </row>
    <row r="2" spans="1:26" x14ac:dyDescent="0.35">
      <c r="A2" s="75" t="s">
        <v>141</v>
      </c>
      <c r="B2" s="74"/>
      <c r="C2" s="74">
        <v>2000</v>
      </c>
      <c r="D2" s="74" t="s">
        <v>142</v>
      </c>
      <c r="E2" s="74" t="s">
        <v>142</v>
      </c>
      <c r="F2" s="73">
        <f>'Daily Dashboard'!B5-32</f>
        <v>45837</v>
      </c>
      <c r="G2" s="9">
        <f>IFERROR(Inv_SY!F4/Inv_SY!$P4-1,"")</f>
        <v>-9.6439461419184358E-3</v>
      </c>
      <c r="H2" s="9">
        <f>IFERROR(Inv_SY!G4/Inv_SY!$P4-1,"")</f>
        <v>-1.6940443558588036E-2</v>
      </c>
      <c r="I2" s="9">
        <f>IFERROR(Inv_SY!H4/Inv_SY!$P4-1,"")</f>
        <v>-1.3579135759897665E-2</v>
      </c>
      <c r="J2" s="9">
        <f>IFERROR(Inv_SY!I4/Inv_SY!$P4-1,"")</f>
        <v>-2.1579566846478437E-2</v>
      </c>
      <c r="K2" s="9">
        <f>IFERROR(Inv_SY!J4/Inv_SY!$P4-1,"")</f>
        <v>-8.0496898351474222E-3</v>
      </c>
      <c r="L2" s="9">
        <f>IFERROR(Inv_SY!K4/Inv_SY!$P4-1,"")</f>
        <v>-1.5552336252103616E-2</v>
      </c>
      <c r="M2" s="9">
        <f>IFERROR(Inv_SY!L4/Inv_SY!$P4-1,"")</f>
        <v>1.4498324087226289E-2</v>
      </c>
      <c r="N2" s="9">
        <f>IFERROR(Inv_SY!M4/Inv_SY!$P4-1,"")</f>
        <v>3.9545924082820649E-2</v>
      </c>
      <c r="O2" s="9">
        <f>IFERROR(Inv_SY!N4/Inv_SY!$P4-1,"")</f>
        <v>9.370552498828566E-4</v>
      </c>
      <c r="P2" s="9">
        <f>IFERROR(Inv_SY!O4/Inv_SY!$P4-1,"")</f>
        <v>3.0363814974202707E-2</v>
      </c>
      <c r="Q2" s="9">
        <f>IFERROR(Inv_SY!Q4/Inv_SY!$AA4-1,"")</f>
        <v>-1.4145018907470996E-3</v>
      </c>
      <c r="R2" s="9">
        <f>IFERROR(Inv_SY!R4/Inv_SY!$AA4-1,"")</f>
        <v>-1.9545455256210764E-2</v>
      </c>
      <c r="S2" s="9">
        <f>IFERROR(Inv_SY!S4/Inv_SY!$AA4-1,"")</f>
        <v>4.1453563025804607E-2</v>
      </c>
      <c r="T2" s="9">
        <f>IFERROR(Inv_SY!T4/Inv_SY!$AA4-1,"")</f>
        <v>1.4967046279861007E-2</v>
      </c>
      <c r="U2" s="9">
        <f>IFERROR(Inv_SY!U4/Inv_SY!$AA4-1,"")</f>
        <v>2.3010104836327372E-3</v>
      </c>
      <c r="V2" s="9">
        <f>IFERROR(Inv_SY!V4/Inv_SY!$AA4-1,"")</f>
        <v>1.4219741617131909E-3</v>
      </c>
      <c r="W2" s="9">
        <f>IFERROR(Inv_SY!W4/Inv_SY!$AA4-1,"")</f>
        <v>-8.6599315710004232E-3</v>
      </c>
      <c r="X2" s="9">
        <f>IFERROR(Inv_SY!X4/Inv_SY!$AA4-1,"")</f>
        <v>-2.6757630003209631E-2</v>
      </c>
      <c r="Y2" s="9">
        <f>IFERROR(Inv_SY!Y4/Inv_SY!$AA4-1,"")</f>
        <v>3.2818003335932655E-3</v>
      </c>
      <c r="Z2" s="9">
        <f>IFERROR(Inv_SY!Z4/Inv_SY!$AA4-1,"")</f>
        <v>-7.0478755634347801E-3</v>
      </c>
    </row>
    <row r="3" spans="1:26" x14ac:dyDescent="0.35">
      <c r="A3" s="75" t="s">
        <v>141</v>
      </c>
      <c r="B3" s="74"/>
      <c r="C3" s="74">
        <v>2000</v>
      </c>
      <c r="D3" s="74" t="s">
        <v>142</v>
      </c>
      <c r="E3" s="74" t="s">
        <v>142</v>
      </c>
      <c r="F3" s="73">
        <f>F2+1</f>
        <v>45838</v>
      </c>
      <c r="G3" s="9">
        <f>IFERROR(Inv_SY!F5/Inv_SY!$P5-1,"")</f>
        <v>-6.1620013145248231E-3</v>
      </c>
      <c r="H3" s="9">
        <f>IFERROR(Inv_SY!G5/Inv_SY!$P5-1,"")</f>
        <v>-9.3521214256755414E-3</v>
      </c>
      <c r="I3" s="9">
        <f>IFERROR(Inv_SY!H5/Inv_SY!$P5-1,"")</f>
        <v>-1.023056029686209E-2</v>
      </c>
      <c r="J3" s="9">
        <f>IFERROR(Inv_SY!I5/Inv_SY!$P5-1,"")</f>
        <v>-9.4339193772435825E-3</v>
      </c>
      <c r="K3" s="9">
        <f>IFERROR(Inv_SY!J5/Inv_SY!$P5-1,"")</f>
        <v>-2.6504796226211158E-2</v>
      </c>
      <c r="L3" s="9">
        <f>IFERROR(Inv_SY!K5/Inv_SY!$P5-1,"")</f>
        <v>-9.0023001700005878E-3</v>
      </c>
      <c r="M3" s="9">
        <f>IFERROR(Inv_SY!L5/Inv_SY!$P5-1,"")</f>
        <v>1.2432299955652315E-2</v>
      </c>
      <c r="N3" s="9">
        <f>IFERROR(Inv_SY!M5/Inv_SY!$P5-1,"")</f>
        <v>3.2674243516876311E-2</v>
      </c>
      <c r="O3" s="9">
        <f>IFERROR(Inv_SY!N5/Inv_SY!$P5-1,"")</f>
        <v>1.0420297857882677E-3</v>
      </c>
      <c r="P3" s="9">
        <f>IFERROR(Inv_SY!O5/Inv_SY!$P5-1,"")</f>
        <v>2.4537125552201777E-2</v>
      </c>
      <c r="Q3" s="9">
        <f>IFERROR(Inv_SY!Q5/Inv_SY!$AA5-1,"")</f>
        <v>5.7981013211210186E-3</v>
      </c>
      <c r="R3" s="9">
        <f>IFERROR(Inv_SY!R5/Inv_SY!$AA5-1,"")</f>
        <v>-1.7885328827008662E-2</v>
      </c>
      <c r="S3" s="9">
        <f>IFERROR(Inv_SY!S5/Inv_SY!$AA5-1,"")</f>
        <v>3.5707190639925335E-2</v>
      </c>
      <c r="T3" s="9">
        <f>IFERROR(Inv_SY!T5/Inv_SY!$AA5-1,"")</f>
        <v>7.8039484367304901E-3</v>
      </c>
      <c r="U3" s="9">
        <f>IFERROR(Inv_SY!U5/Inv_SY!$AA5-1,"")</f>
        <v>-1.2910881120919981E-3</v>
      </c>
      <c r="V3" s="9">
        <f>IFERROR(Inv_SY!V5/Inv_SY!$AA5-1,"")</f>
        <v>3.7102055095066255E-3</v>
      </c>
      <c r="W3" s="9">
        <f>IFERROR(Inv_SY!W5/Inv_SY!$AA5-1,"")</f>
        <v>2.4882141518922651E-4</v>
      </c>
      <c r="X3" s="9">
        <f>IFERROR(Inv_SY!X5/Inv_SY!$AA5-1,"")</f>
        <v>-1.4037196553069897E-2</v>
      </c>
      <c r="Y3" s="9">
        <f>IFERROR(Inv_SY!Y5/Inv_SY!$AA5-1,"")</f>
        <v>-5.4928930795626885E-3</v>
      </c>
      <c r="Z3" s="9">
        <f>IFERROR(Inv_SY!Z5/Inv_SY!$AA5-1,"")</f>
        <v>-1.456176075073834E-2</v>
      </c>
    </row>
    <row r="4" spans="1:26" x14ac:dyDescent="0.35">
      <c r="A4" s="75" t="s">
        <v>141</v>
      </c>
      <c r="B4" s="74"/>
      <c r="C4" s="74">
        <v>2000</v>
      </c>
      <c r="D4" s="74" t="s">
        <v>142</v>
      </c>
      <c r="E4" s="74" t="s">
        <v>142</v>
      </c>
      <c r="F4" s="73">
        <f t="shared" ref="F4:F43" si="0">F3+1</f>
        <v>45839</v>
      </c>
      <c r="G4" s="9">
        <f>IFERROR(Inv_SY!F6/Inv_SY!$P6-1,"")</f>
        <v>-1.4887636992880204E-2</v>
      </c>
      <c r="H4" s="9">
        <f>IFERROR(Inv_SY!G6/Inv_SY!$P6-1,"")</f>
        <v>-1.3338718183120601E-2</v>
      </c>
      <c r="I4" s="9">
        <f>IFERROR(Inv_SY!H6/Inv_SY!$P6-1,"")</f>
        <v>-1.3338718183120601E-2</v>
      </c>
      <c r="J4" s="9">
        <f>IFERROR(Inv_SY!I6/Inv_SY!$P6-1,"")</f>
        <v>-1.0386505408963242E-2</v>
      </c>
      <c r="K4" s="9">
        <f>IFERROR(Inv_SY!J6/Inv_SY!$P6-1,"")</f>
        <v>-1.1170231849457091E-2</v>
      </c>
      <c r="L4" s="9">
        <f>IFERROR(Inv_SY!K6/Inv_SY!$P6-1,"")</f>
        <v>-1.046181846030203E-2</v>
      </c>
      <c r="M4" s="9">
        <f>IFERROR(Inv_SY!L6/Inv_SY!$P6-1,"")</f>
        <v>1.7137210044650741E-2</v>
      </c>
      <c r="N4" s="9">
        <f>IFERROR(Inv_SY!M6/Inv_SY!$P6-1,"")</f>
        <v>3.5710377459267528E-2</v>
      </c>
      <c r="O4" s="9">
        <f>IFERROR(Inv_SY!N6/Inv_SY!$P6-1,"")</f>
        <v>-1.0340665975047125E-3</v>
      </c>
      <c r="P4" s="9">
        <f>IFERROR(Inv_SY!O6/Inv_SY!$P6-1,"")</f>
        <v>2.1770108171430769E-2</v>
      </c>
      <c r="Q4" s="9">
        <f>IFERROR(Inv_SY!Q6/Inv_SY!$AA6-1,"")</f>
        <v>-1.2588703595203254E-3</v>
      </c>
      <c r="R4" s="9">
        <f>IFERROR(Inv_SY!R6/Inv_SY!$AA6-1,"")</f>
        <v>-2.3148038846927288E-2</v>
      </c>
      <c r="S4" s="9">
        <f>IFERROR(Inv_SY!S6/Inv_SY!$AA6-1,"")</f>
        <v>3.3736373720425039E-2</v>
      </c>
      <c r="T4" s="9">
        <f>IFERROR(Inv_SY!T6/Inv_SY!$AA6-1,"")</f>
        <v>6.68234007007662E-3</v>
      </c>
      <c r="U4" s="9">
        <f>IFERROR(Inv_SY!U6/Inv_SY!$AA6-1,"")</f>
        <v>-2.9610332048783938E-3</v>
      </c>
      <c r="V4" s="9">
        <f>IFERROR(Inv_SY!V6/Inv_SY!$AA6-1,"")</f>
        <v>-1.1900730629818002E-3</v>
      </c>
      <c r="W4" s="9">
        <f>IFERROR(Inv_SY!W6/Inv_SY!$AA6-1,"")</f>
        <v>-5.0557743040757774E-3</v>
      </c>
      <c r="X4" s="9">
        <f>IFERROR(Inv_SY!X6/Inv_SY!$AA6-1,"")</f>
        <v>-2.0725986979202138E-2</v>
      </c>
      <c r="Y4" s="9">
        <f>IFERROR(Inv_SY!Y6/Inv_SY!$AA6-1,"")</f>
        <v>1.0755351462222507E-2</v>
      </c>
      <c r="Z4" s="9">
        <f>IFERROR(Inv_SY!Z6/Inv_SY!$AA6-1,"")</f>
        <v>3.1657115048615569E-3</v>
      </c>
    </row>
    <row r="5" spans="1:26" x14ac:dyDescent="0.35">
      <c r="A5" s="75" t="s">
        <v>141</v>
      </c>
      <c r="B5" s="74"/>
      <c r="C5" s="74">
        <v>2000</v>
      </c>
      <c r="D5" s="74" t="s">
        <v>142</v>
      </c>
      <c r="E5" s="74" t="s">
        <v>142</v>
      </c>
      <c r="F5" s="73">
        <f t="shared" si="0"/>
        <v>45840</v>
      </c>
      <c r="G5" s="9">
        <f>IFERROR(Inv_SY!F7/Inv_SY!$P7-1,"")</f>
        <v>-1.4542740454729919E-2</v>
      </c>
      <c r="H5" s="9">
        <f>IFERROR(Inv_SY!G7/Inv_SY!$P7-1,"")</f>
        <v>-1.8052203629748576E-2</v>
      </c>
      <c r="I5" s="9">
        <f>IFERROR(Inv_SY!H7/Inv_SY!$P7-1,"")</f>
        <v>-2.4168696591924332E-2</v>
      </c>
      <c r="J5" s="9">
        <f>IFERROR(Inv_SY!I7/Inv_SY!$P7-1,"")</f>
        <v>-1.8514475775439854E-2</v>
      </c>
      <c r="K5" s="9">
        <f>IFERROR(Inv_SY!J7/Inv_SY!$P7-1,"")</f>
        <v>-1.0007434197782494E-2</v>
      </c>
      <c r="L5" s="9">
        <f>IFERROR(Inv_SY!K7/Inv_SY!$P7-1,"")</f>
        <v>-1.5472198280227722E-2</v>
      </c>
      <c r="M5" s="9">
        <f>IFERROR(Inv_SY!L7/Inv_SY!$P7-1,"")</f>
        <v>9.2917413636954826E-3</v>
      </c>
      <c r="N5" s="9">
        <f>IFERROR(Inv_SY!M7/Inv_SY!$P7-1,"")</f>
        <v>3.5993529265540447E-2</v>
      </c>
      <c r="O5" s="9">
        <f>IFERROR(Inv_SY!N7/Inv_SY!$P7-1,"")</f>
        <v>1.1056237415030479E-2</v>
      </c>
      <c r="P5" s="9">
        <f>IFERROR(Inv_SY!O7/Inv_SY!$P7-1,"")</f>
        <v>4.441624088558549E-2</v>
      </c>
      <c r="Q5" s="9">
        <f>IFERROR(Inv_SY!Q7/Inv_SY!$AA7-1,"")</f>
        <v>7.0461139539443884E-3</v>
      </c>
      <c r="R5" s="9">
        <f>IFERROR(Inv_SY!R7/Inv_SY!$AA7-1,"")</f>
        <v>-1.312031989428819E-2</v>
      </c>
      <c r="S5" s="9">
        <f>IFERROR(Inv_SY!S7/Inv_SY!$AA7-1,"")</f>
        <v>4.4753669737297219E-2</v>
      </c>
      <c r="T5" s="9">
        <f>IFERROR(Inv_SY!T7/Inv_SY!$AA7-1,"")</f>
        <v>1.804576026432958E-2</v>
      </c>
      <c r="U5" s="9">
        <f>IFERROR(Inv_SY!U7/Inv_SY!$AA7-1,"")</f>
        <v>7.9199517769512617E-3</v>
      </c>
      <c r="V5" s="9">
        <f>IFERROR(Inv_SY!V7/Inv_SY!$AA7-1,"")</f>
        <v>6.5791618349431147E-3</v>
      </c>
      <c r="W5" s="9">
        <f>IFERROR(Inv_SY!W7/Inv_SY!$AA7-1,"")</f>
        <v>1.7802345377748718E-3</v>
      </c>
      <c r="X5" s="9">
        <f>IFERROR(Inv_SY!X7/Inv_SY!$AA7-1,"")</f>
        <v>-1.5496759748143352E-2</v>
      </c>
      <c r="Y5" s="9">
        <f>IFERROR(Inv_SY!Y7/Inv_SY!$AA7-1,"")</f>
        <v>-2.0109486049123659E-2</v>
      </c>
      <c r="Z5" s="9">
        <f>IFERROR(Inv_SY!Z7/Inv_SY!$AA7-1,"")</f>
        <v>-3.7398326413685679E-2</v>
      </c>
    </row>
    <row r="6" spans="1:26" x14ac:dyDescent="0.35">
      <c r="A6" s="75" t="s">
        <v>141</v>
      </c>
      <c r="B6" s="74"/>
      <c r="C6" s="74">
        <v>2000</v>
      </c>
      <c r="D6" s="74" t="s">
        <v>142</v>
      </c>
      <c r="E6" s="74" t="s">
        <v>142</v>
      </c>
      <c r="F6" s="73">
        <f t="shared" si="0"/>
        <v>45841</v>
      </c>
      <c r="G6" s="9">
        <f>IFERROR(Inv_SY!F8/Inv_SY!$P8-1,"")</f>
        <v>-9.1497207083333087E-3</v>
      </c>
      <c r="H6" s="9">
        <f>IFERROR(Inv_SY!G8/Inv_SY!$P8-1,"")</f>
        <v>-1.2905528107440167E-2</v>
      </c>
      <c r="I6" s="9">
        <f>IFERROR(Inv_SY!H8/Inv_SY!$P8-1,"")</f>
        <v>-9.1497207083333087E-3</v>
      </c>
      <c r="J6" s="9">
        <f>IFERROR(Inv_SY!I8/Inv_SY!$P8-1,"")</f>
        <v>-1.4457461576628305E-2</v>
      </c>
      <c r="K6" s="9">
        <f>IFERROR(Inv_SY!J8/Inv_SY!$P8-1,"")</f>
        <v>-1.6030990208794949E-2</v>
      </c>
      <c r="L6" s="9">
        <f>IFERROR(Inv_SY!K8/Inv_SY!$P8-1,"")</f>
        <v>-9.8753960048195699E-3</v>
      </c>
      <c r="M6" s="9">
        <f>IFERROR(Inv_SY!L8/Inv_SY!$P8-1,"")</f>
        <v>1.60200564415931E-2</v>
      </c>
      <c r="N6" s="9">
        <f>IFERROR(Inv_SY!M8/Inv_SY!$P8-1,"")</f>
        <v>3.5237094008385039E-2</v>
      </c>
      <c r="O6" s="9">
        <f>IFERROR(Inv_SY!N8/Inv_SY!$P8-1,"")</f>
        <v>9.7802452413864316E-5</v>
      </c>
      <c r="P6" s="9">
        <f>IFERROR(Inv_SY!O8/Inv_SY!$P8-1,"")</f>
        <v>2.0213864411957383E-2</v>
      </c>
      <c r="Q6" s="9">
        <f>IFERROR(Inv_SY!Q8/Inv_SY!$AA8-1,"")</f>
        <v>9.126270681408144E-3</v>
      </c>
      <c r="R6" s="9">
        <f>IFERROR(Inv_SY!R8/Inv_SY!$AA8-1,"")</f>
        <v>-2.0466723238231288E-2</v>
      </c>
      <c r="S6" s="9">
        <f>IFERROR(Inv_SY!S8/Inv_SY!$AA8-1,"")</f>
        <v>3.1244570661996818E-2</v>
      </c>
      <c r="T6" s="9">
        <f>IFERROR(Inv_SY!T8/Inv_SY!$AA8-1,"")</f>
        <v>2.3282245114488731E-3</v>
      </c>
      <c r="U6" s="9">
        <f>IFERROR(Inv_SY!U8/Inv_SY!$AA8-1,"")</f>
        <v>-5.2578282938990917E-3</v>
      </c>
      <c r="V6" s="9">
        <f>IFERROR(Inv_SY!V8/Inv_SY!$AA8-1,"")</f>
        <v>2.3701786778209666E-3</v>
      </c>
      <c r="W6" s="9">
        <f>IFERROR(Inv_SY!W8/Inv_SY!$AA8-1,"")</f>
        <v>-1.6742722423727097E-3</v>
      </c>
      <c r="X6" s="9">
        <f>IFERROR(Inv_SY!X8/Inv_SY!$AA8-1,"")</f>
        <v>-9.7715329497813919E-3</v>
      </c>
      <c r="Y6" s="9">
        <f>IFERROR(Inv_SY!Y8/Inv_SY!$AA8-1,"")</f>
        <v>-6.8858103088675904E-3</v>
      </c>
      <c r="Z6" s="9">
        <f>IFERROR(Inv_SY!Z8/Inv_SY!$AA8-1,"")</f>
        <v>-1.0130774995220637E-3</v>
      </c>
    </row>
    <row r="7" spans="1:26" x14ac:dyDescent="0.35">
      <c r="A7" s="75" t="s">
        <v>141</v>
      </c>
      <c r="B7" s="74"/>
      <c r="C7" s="74">
        <v>2000</v>
      </c>
      <c r="D7" s="74" t="s">
        <v>142</v>
      </c>
      <c r="E7" s="74" t="s">
        <v>142</v>
      </c>
      <c r="F7" s="73">
        <f t="shared" si="0"/>
        <v>45842</v>
      </c>
      <c r="G7" s="9">
        <f>IFERROR(Inv_SY!F9/Inv_SY!$P9-1,"")</f>
        <v>-1.1421798348429046E-2</v>
      </c>
      <c r="H7" s="9">
        <f>IFERROR(Inv_SY!G9/Inv_SY!$P9-1,"")</f>
        <v>-1.2672529878858474E-2</v>
      </c>
      <c r="I7" s="9">
        <f>IFERROR(Inv_SY!H9/Inv_SY!$P9-1,"")</f>
        <v>-1.5710020738473385E-2</v>
      </c>
      <c r="J7" s="9">
        <f>IFERROR(Inv_SY!I9/Inv_SY!$P9-1,"")</f>
        <v>-1.793598689079845E-2</v>
      </c>
      <c r="K7" s="9">
        <f>IFERROR(Inv_SY!J9/Inv_SY!$P9-1,"")</f>
        <v>-1.9241756717145786E-2</v>
      </c>
      <c r="L7" s="9">
        <f>IFERROR(Inv_SY!K9/Inv_SY!$P9-1,"")</f>
        <v>-9.5540392629873683E-3</v>
      </c>
      <c r="M7" s="9">
        <f>IFERROR(Inv_SY!L9/Inv_SY!$P9-1,"")</f>
        <v>9.4231266984221573E-3</v>
      </c>
      <c r="N7" s="9">
        <f>IFERROR(Inv_SY!M9/Inv_SY!$P9-1,"")</f>
        <v>3.3461596000702531E-2</v>
      </c>
      <c r="O7" s="9">
        <f>IFERROR(Inv_SY!N9/Inv_SY!$P9-1,"")</f>
        <v>5.9015907468205064E-3</v>
      </c>
      <c r="P7" s="9">
        <f>IFERROR(Inv_SY!O9/Inv_SY!$P9-1,"")</f>
        <v>3.7749818390746981E-2</v>
      </c>
      <c r="Q7" s="9">
        <f>IFERROR(Inv_SY!Q9/Inv_SY!$AA9-1,"")</f>
        <v>1.8916897958251688E-2</v>
      </c>
      <c r="R7" s="9">
        <f>IFERROR(Inv_SY!R9/Inv_SY!$AA9-1,"")</f>
        <v>-9.0536332172403977E-3</v>
      </c>
      <c r="S7" s="9">
        <f>IFERROR(Inv_SY!S9/Inv_SY!$AA9-1,"")</f>
        <v>4.0332834518803651E-2</v>
      </c>
      <c r="T7" s="9">
        <f>IFERROR(Inv_SY!T9/Inv_SY!$AA9-1,"")</f>
        <v>7.8967746052982513E-3</v>
      </c>
      <c r="U7" s="9">
        <f>IFERROR(Inv_SY!U9/Inv_SY!$AA9-1,"")</f>
        <v>5.5033332205227659E-3</v>
      </c>
      <c r="V7" s="9">
        <f>IFERROR(Inv_SY!V9/Inv_SY!$AA9-1,"")</f>
        <v>1.3168148552747283E-2</v>
      </c>
      <c r="W7" s="9">
        <f>IFERROR(Inv_SY!W9/Inv_SY!$AA9-1,"")</f>
        <v>8.7985563371484332E-3</v>
      </c>
      <c r="X7" s="9">
        <f>IFERROR(Inv_SY!X9/Inv_SY!$AA9-1,"")</f>
        <v>-3.0510750528088826E-3</v>
      </c>
      <c r="Y7" s="9">
        <f>IFERROR(Inv_SY!Y9/Inv_SY!$AA9-1,"")</f>
        <v>-3.094214529323569E-2</v>
      </c>
      <c r="Z7" s="9">
        <f>IFERROR(Inv_SY!Z9/Inv_SY!$AA9-1,"")</f>
        <v>-5.1569691629487435E-2</v>
      </c>
    </row>
    <row r="8" spans="1:26" x14ac:dyDescent="0.35">
      <c r="A8" s="75" t="s">
        <v>141</v>
      </c>
      <c r="B8" s="74"/>
      <c r="C8" s="74">
        <v>2000</v>
      </c>
      <c r="D8" s="74" t="s">
        <v>142</v>
      </c>
      <c r="E8" s="74" t="s">
        <v>142</v>
      </c>
      <c r="F8" s="73">
        <f t="shared" si="0"/>
        <v>45843</v>
      </c>
      <c r="G8" s="9">
        <f>IFERROR(Inv_SY!F10/Inv_SY!$P10-1,"")</f>
        <v>-1.0539737535179228E-2</v>
      </c>
      <c r="H8" s="9">
        <f>IFERROR(Inv_SY!G10/Inv_SY!$P10-1,"")</f>
        <v>-1.1020417034881769E-2</v>
      </c>
      <c r="I8" s="9">
        <f>IFERROR(Inv_SY!H10/Inv_SY!$P10-1,"")</f>
        <v>-9.9481319970836646E-3</v>
      </c>
      <c r="J8" s="9">
        <f>IFERROR(Inv_SY!I10/Inv_SY!$P10-1,"")</f>
        <v>-1.8286736209676691E-2</v>
      </c>
      <c r="K8" s="9">
        <f>IFERROR(Inv_SY!J10/Inv_SY!$P10-1,"")</f>
        <v>-1.1709296175875905E-2</v>
      </c>
      <c r="L8" s="9">
        <f>IFERROR(Inv_SY!K10/Inv_SY!$P10-1,"")</f>
        <v>-1.4748564284975285E-2</v>
      </c>
      <c r="M8" s="9">
        <f>IFERROR(Inv_SY!L10/Inv_SY!$P10-1,"")</f>
        <v>1.426325203013934E-2</v>
      </c>
      <c r="N8" s="9">
        <f>IFERROR(Inv_SY!M10/Inv_SY!$P10-1,"")</f>
        <v>3.5901297205321869E-2</v>
      </c>
      <c r="O8" s="9">
        <f>IFERROR(Inv_SY!N10/Inv_SY!$P10-1,"")</f>
        <v>-5.147182453302257E-5</v>
      </c>
      <c r="P8" s="9">
        <f>IFERROR(Inv_SY!O10/Inv_SY!$P10-1,"")</f>
        <v>2.6139805826745244E-2</v>
      </c>
      <c r="Q8" s="9">
        <f>IFERROR(Inv_SY!Q10/Inv_SY!$AA10-1,"")</f>
        <v>1.7120801393775142E-3</v>
      </c>
      <c r="R8" s="9">
        <f>IFERROR(Inv_SY!R10/Inv_SY!$AA10-1,"")</f>
        <v>-1.7661704405160017E-2</v>
      </c>
      <c r="S8" s="9">
        <f>IFERROR(Inv_SY!S10/Inv_SY!$AA10-1,"")</f>
        <v>4.023295795998183E-2</v>
      </c>
      <c r="T8" s="9">
        <f>IFERROR(Inv_SY!T10/Inv_SY!$AA10-1,"")</f>
        <v>1.3726793453270547E-2</v>
      </c>
      <c r="U8" s="9">
        <f>IFERROR(Inv_SY!U10/Inv_SY!$AA10-1,"")</f>
        <v>1.3986598339210676E-3</v>
      </c>
      <c r="V8" s="9">
        <f>IFERROR(Inv_SY!V10/Inv_SY!$AA10-1,"")</f>
        <v>2.1222031744507763E-3</v>
      </c>
      <c r="W8" s="9">
        <f>IFERROR(Inv_SY!W10/Inv_SY!$AA10-1,"")</f>
        <v>-6.6660853485637217E-3</v>
      </c>
      <c r="X8" s="9">
        <f>IFERROR(Inv_SY!X10/Inv_SY!$AA10-1,"")</f>
        <v>-2.3032232041621747E-2</v>
      </c>
      <c r="Y8" s="9">
        <f>IFERROR(Inv_SY!Y10/Inv_SY!$AA10-1,"")</f>
        <v>1.032727240288156E-2</v>
      </c>
      <c r="Z8" s="9">
        <f>IFERROR(Inv_SY!Z10/Inv_SY!$AA10-1,"")</f>
        <v>-2.2159945168537032E-2</v>
      </c>
    </row>
    <row r="9" spans="1:26" x14ac:dyDescent="0.35">
      <c r="A9" s="75" t="s">
        <v>141</v>
      </c>
      <c r="B9" s="74"/>
      <c r="C9" s="74">
        <v>2000</v>
      </c>
      <c r="D9" s="74" t="s">
        <v>142</v>
      </c>
      <c r="E9" s="74" t="s">
        <v>142</v>
      </c>
      <c r="F9" s="73">
        <f t="shared" si="0"/>
        <v>45844</v>
      </c>
      <c r="G9" s="9">
        <f>IFERROR(Inv_SY!F11/Inv_SY!$P11-1,"")</f>
        <v>-1.025520090524068E-2</v>
      </c>
      <c r="H9" s="9">
        <f>IFERROR(Inv_SY!G11/Inv_SY!$P11-1,"")</f>
        <v>-9.0626308599193184E-3</v>
      </c>
      <c r="I9" s="9">
        <f>IFERROR(Inv_SY!H11/Inv_SY!$P11-1,"")</f>
        <v>-4.9548895927017389E-3</v>
      </c>
      <c r="J9" s="9">
        <f>IFERROR(Inv_SY!I11/Inv_SY!$P11-1,"")</f>
        <v>-1.0057685030687935E-2</v>
      </c>
      <c r="K9" s="9">
        <f>IFERROR(Inv_SY!J11/Inv_SY!$P11-1,"")</f>
        <v>-9.6952705819673968E-3</v>
      </c>
      <c r="L9" s="9">
        <f>IFERROR(Inv_SY!K11/Inv_SY!$P11-1,"")</f>
        <v>-1.0315401972000315E-2</v>
      </c>
      <c r="M9" s="9">
        <f>IFERROR(Inv_SY!L11/Inv_SY!$P11-1,"")</f>
        <v>5.1569361833461169E-3</v>
      </c>
      <c r="N9" s="9">
        <f>IFERROR(Inv_SY!M11/Inv_SY!$P11-1,"")</f>
        <v>2.7200332370034053E-2</v>
      </c>
      <c r="O9" s="9">
        <f>IFERROR(Inv_SY!N11/Inv_SY!$P11-1,"")</f>
        <v>-1.6829811058692856E-3</v>
      </c>
      <c r="P9" s="9">
        <f>IFERROR(Inv_SY!O11/Inv_SY!$P11-1,"")</f>
        <v>2.3666791495007944E-2</v>
      </c>
      <c r="Q9" s="9">
        <f>IFERROR(Inv_SY!Q11/Inv_SY!$AA11-1,"")</f>
        <v>7.1395553127424627E-3</v>
      </c>
      <c r="R9" s="9">
        <f>IFERROR(Inv_SY!R11/Inv_SY!$AA11-1,"")</f>
        <v>-1.5158048053058426E-2</v>
      </c>
      <c r="S9" s="9">
        <f>IFERROR(Inv_SY!S11/Inv_SY!$AA11-1,"")</f>
        <v>4.2365249898439705E-2</v>
      </c>
      <c r="T9" s="9">
        <f>IFERROR(Inv_SY!T11/Inv_SY!$AA11-1,"")</f>
        <v>1.5292129121893261E-2</v>
      </c>
      <c r="U9" s="9">
        <f>IFERROR(Inv_SY!U11/Inv_SY!$AA11-1,"")</f>
        <v>3.1435607453484948E-3</v>
      </c>
      <c r="V9" s="9">
        <f>IFERROR(Inv_SY!V11/Inv_SY!$AA11-1,"")</f>
        <v>5.0895557972432393E-3</v>
      </c>
      <c r="W9" s="9">
        <f>IFERROR(Inv_SY!W11/Inv_SY!$AA11-1,"")</f>
        <v>-1.9881590639098112E-3</v>
      </c>
      <c r="X9" s="9">
        <f>IFERROR(Inv_SY!X11/Inv_SY!$AA11-1,"")</f>
        <v>-1.5462764138798324E-2</v>
      </c>
      <c r="Y9" s="9">
        <f>IFERROR(Inv_SY!Y11/Inv_SY!$AA11-1,"")</f>
        <v>2.2223339125351238E-3</v>
      </c>
      <c r="Z9" s="9">
        <f>IFERROR(Inv_SY!Z11/Inv_SY!$AA11-1,"")</f>
        <v>-4.2643413532434393E-2</v>
      </c>
    </row>
    <row r="10" spans="1:26" x14ac:dyDescent="0.35">
      <c r="A10" s="75" t="s">
        <v>141</v>
      </c>
      <c r="B10" s="74"/>
      <c r="C10" s="74">
        <v>2000</v>
      </c>
      <c r="D10" s="74" t="s">
        <v>142</v>
      </c>
      <c r="E10" s="74" t="s">
        <v>142</v>
      </c>
      <c r="F10" s="73">
        <f t="shared" si="0"/>
        <v>45845</v>
      </c>
      <c r="G10" s="9">
        <f>IFERROR(Inv_SY!F12/Inv_SY!$P12-1,"")</f>
        <v>-1.0672367772981195E-2</v>
      </c>
      <c r="H10" s="9">
        <f>IFERROR(Inv_SY!G12/Inv_SY!$P12-1,"")</f>
        <v>-1.1234485745837186E-2</v>
      </c>
      <c r="I10" s="9">
        <f>IFERROR(Inv_SY!H12/Inv_SY!$P12-1,"")</f>
        <v>-1.0672367772981195E-2</v>
      </c>
      <c r="J10" s="9">
        <f>IFERROR(Inv_SY!I12/Inv_SY!$P12-1,"")</f>
        <v>-1.0993028965799678E-2</v>
      </c>
      <c r="K10" s="9">
        <f>IFERROR(Inv_SY!J12/Inv_SY!$P12-1,"")</f>
        <v>-1.0395632770959451E-2</v>
      </c>
      <c r="L10" s="9">
        <f>IFERROR(Inv_SY!K12/Inv_SY!$P12-1,"")</f>
        <v>3.6256073314653303E-3</v>
      </c>
      <c r="M10" s="9">
        <f>IFERROR(Inv_SY!L12/Inv_SY!$P12-1,"")</f>
        <v>8.3987954514399554E-3</v>
      </c>
      <c r="N10" s="9">
        <f>IFERROR(Inv_SY!M12/Inv_SY!$P12-1,"")</f>
        <v>2.466076194941258E-2</v>
      </c>
      <c r="O10" s="9">
        <f>IFERROR(Inv_SY!N12/Inv_SY!$P12-1,"")</f>
        <v>1.6158439125288915E-3</v>
      </c>
      <c r="P10" s="9">
        <f>IFERROR(Inv_SY!O12/Inv_SY!$P12-1,"")</f>
        <v>1.5666874383712281E-2</v>
      </c>
      <c r="Q10" s="9">
        <f>IFERROR(Inv_SY!Q12/Inv_SY!$AA12-1,"")</f>
        <v>5.4483706176493563E-3</v>
      </c>
      <c r="R10" s="9">
        <f>IFERROR(Inv_SY!R12/Inv_SY!$AA12-1,"")</f>
        <v>-1.8737338701642181E-2</v>
      </c>
      <c r="S10" s="9">
        <f>IFERROR(Inv_SY!S12/Inv_SY!$AA12-1,"")</f>
        <v>3.6000441965909236E-2</v>
      </c>
      <c r="T10" s="9">
        <f>IFERROR(Inv_SY!T12/Inv_SY!$AA12-1,"")</f>
        <v>7.6825139270202403E-3</v>
      </c>
      <c r="U10" s="9">
        <f>IFERROR(Inv_SY!U12/Inv_SY!$AA12-1,"")</f>
        <v>2.4649221203176808E-4</v>
      </c>
      <c r="V10" s="9">
        <f>IFERROR(Inv_SY!V12/Inv_SY!$AA12-1,"")</f>
        <v>2.7640171614780051E-3</v>
      </c>
      <c r="W10" s="9">
        <f>IFERROR(Inv_SY!W12/Inv_SY!$AA12-1,"")</f>
        <v>1.9687069618827824E-3</v>
      </c>
      <c r="X10" s="9">
        <f>IFERROR(Inv_SY!X12/Inv_SY!$AA12-1,"")</f>
        <v>-1.2486924100284846E-2</v>
      </c>
      <c r="Y10" s="9">
        <f>IFERROR(Inv_SY!Y12/Inv_SY!$AA12-1,"")</f>
        <v>8.8588605955852717E-3</v>
      </c>
      <c r="Z10" s="9">
        <f>IFERROR(Inv_SY!Z12/Inv_SY!$AA12-1,"")</f>
        <v>-3.1745140639629299E-2</v>
      </c>
    </row>
    <row r="11" spans="1:26" x14ac:dyDescent="0.35">
      <c r="A11" s="75" t="s">
        <v>141</v>
      </c>
      <c r="B11" s="74"/>
      <c r="C11" s="74">
        <v>2000</v>
      </c>
      <c r="D11" s="74" t="s">
        <v>142</v>
      </c>
      <c r="E11" s="74" t="s">
        <v>142</v>
      </c>
      <c r="F11" s="73">
        <f t="shared" si="0"/>
        <v>45846</v>
      </c>
      <c r="G11" s="9">
        <f>IFERROR(Inv_SY!F13/Inv_SY!$P13-1,"")</f>
        <v>8.1191362006252099E-3</v>
      </c>
      <c r="H11" s="9">
        <f>IFERROR(Inv_SY!G13/Inv_SY!$P13-1,"")</f>
        <v>-1.2435656196421618E-2</v>
      </c>
      <c r="I11" s="9">
        <f>IFERROR(Inv_SY!H13/Inv_SY!$P13-1,"")</f>
        <v>4.3819012193440088E-3</v>
      </c>
      <c r="J11" s="9">
        <f>IFERROR(Inv_SY!I13/Inv_SY!$P13-1,"")</f>
        <v>-4.0172948347406701E-3</v>
      </c>
      <c r="K11" s="9">
        <f>IFERROR(Inv_SY!J13/Inv_SY!$P13-1,"")</f>
        <v>-6.1034084933775601E-2</v>
      </c>
      <c r="L11" s="9">
        <f>IFERROR(Inv_SY!K13/Inv_SY!$P13-1,"")</f>
        <v>-4.8378593484342702E-2</v>
      </c>
      <c r="M11" s="9">
        <f>IFERROR(Inv_SY!L13/Inv_SY!$P13-1,"")</f>
        <v>1.8954976840705129E-2</v>
      </c>
      <c r="N11" s="9">
        <f>IFERROR(Inv_SY!M13/Inv_SY!$P13-1,"")</f>
        <v>3.8017016050875485E-2</v>
      </c>
      <c r="O11" s="9">
        <f>IFERROR(Inv_SY!N13/Inv_SY!$P13-1,"")</f>
        <v>1.9777046204836557E-2</v>
      </c>
      <c r="P11" s="9">
        <f>IFERROR(Inv_SY!O13/Inv_SY!$P13-1,"")</f>
        <v>3.6615552932894868E-2</v>
      </c>
      <c r="Q11" s="9">
        <f>IFERROR(Inv_SY!Q13/Inv_SY!$AA13-1,"")</f>
        <v>1.1080436579773423E-2</v>
      </c>
      <c r="R11" s="9">
        <f>IFERROR(Inv_SY!R13/Inv_SY!$AA13-1,"")</f>
        <v>-1.2871126905515728E-2</v>
      </c>
      <c r="S11" s="9">
        <f>IFERROR(Inv_SY!S13/Inv_SY!$AA13-1,"")</f>
        <v>4.143724668071247E-2</v>
      </c>
      <c r="T11" s="9">
        <f>IFERROR(Inv_SY!T13/Inv_SY!$AA13-1,"")</f>
        <v>1.2827744212640768E-2</v>
      </c>
      <c r="U11" s="9">
        <f>IFERROR(Inv_SY!U13/Inv_SY!$AA13-1,"")</f>
        <v>4.7351380873252857E-3</v>
      </c>
      <c r="V11" s="9">
        <f>IFERROR(Inv_SY!V13/Inv_SY!$AA13-1,"")</f>
        <v>7.5803589418221851E-3</v>
      </c>
      <c r="W11" s="9">
        <f>IFERROR(Inv_SY!W13/Inv_SY!$AA13-1,"")</f>
        <v>3.2727100420302246E-3</v>
      </c>
      <c r="X11" s="9">
        <f>IFERROR(Inv_SY!X13/Inv_SY!$AA13-1,"")</f>
        <v>-1.1054974174347754E-2</v>
      </c>
      <c r="Y11" s="9">
        <f>IFERROR(Inv_SY!Y13/Inv_SY!$AA13-1,"")</f>
        <v>-5.4485316878950529E-3</v>
      </c>
      <c r="Z11" s="9">
        <f>IFERROR(Inv_SY!Z13/Inv_SY!$AA13-1,"")</f>
        <v>-5.1559001776547597E-2</v>
      </c>
    </row>
    <row r="12" spans="1:26" x14ac:dyDescent="0.35">
      <c r="A12" s="75" t="s">
        <v>141</v>
      </c>
      <c r="B12" s="74"/>
      <c r="C12" s="74">
        <v>2000</v>
      </c>
      <c r="D12" s="74" t="s">
        <v>142</v>
      </c>
      <c r="E12" s="74" t="s">
        <v>142</v>
      </c>
      <c r="F12" s="73">
        <f t="shared" si="0"/>
        <v>45847</v>
      </c>
      <c r="G12" s="9">
        <f>IFERROR(Inv_SY!F14/Inv_SY!$P14-1,"")</f>
        <v>-1.0465627420703116E-2</v>
      </c>
      <c r="H12" s="9">
        <f>IFERROR(Inv_SY!G14/Inv_SY!$P14-1,"")</f>
        <v>-1.5566320062864403E-2</v>
      </c>
      <c r="I12" s="9">
        <f>IFERROR(Inv_SY!H14/Inv_SY!$P14-1,"")</f>
        <v>-9.9798471690687451E-3</v>
      </c>
      <c r="J12" s="9">
        <f>IFERROR(Inv_SY!I14/Inv_SY!$P14-1,"")</f>
        <v>-1.4900759598445612E-2</v>
      </c>
      <c r="K12" s="9">
        <f>IFERROR(Inv_SY!J14/Inv_SY!$P14-1,"")</f>
        <v>-1.3552200404164827E-2</v>
      </c>
      <c r="L12" s="9">
        <f>IFERROR(Inv_SY!K14/Inv_SY!$P14-1,"")</f>
        <v>-9.9405418723552685E-3</v>
      </c>
      <c r="M12" s="9">
        <f>IFERROR(Inv_SY!L14/Inv_SY!$P14-1,"")</f>
        <v>9.1457427183565532E-3</v>
      </c>
      <c r="N12" s="9">
        <f>IFERROR(Inv_SY!M14/Inv_SY!$P14-1,"")</f>
        <v>2.8882572961684172E-2</v>
      </c>
      <c r="O12" s="9">
        <f>IFERROR(Inv_SY!N14/Inv_SY!$P14-1,"")</f>
        <v>7.0086276342431475E-3</v>
      </c>
      <c r="P12" s="9">
        <f>IFERROR(Inv_SY!O14/Inv_SY!$P14-1,"")</f>
        <v>2.9368353213318654E-2</v>
      </c>
      <c r="Q12" s="9">
        <f>IFERROR(Inv_SY!Q14/Inv_SY!$AA14-1,"")</f>
        <v>1.148242677279776E-2</v>
      </c>
      <c r="R12" s="9">
        <f>IFERROR(Inv_SY!R14/Inv_SY!$AA14-1,"")</f>
        <v>-1.2945736249769024E-2</v>
      </c>
      <c r="S12" s="9">
        <f>IFERROR(Inv_SY!S14/Inv_SY!$AA14-1,"")</f>
        <v>4.1479680092963322E-2</v>
      </c>
      <c r="T12" s="9">
        <f>IFERROR(Inv_SY!T14/Inv_SY!$AA14-1,"")</f>
        <v>1.2310739435579254E-2</v>
      </c>
      <c r="U12" s="9">
        <f>IFERROR(Inv_SY!U14/Inv_SY!$AA14-1,"")</f>
        <v>4.155540662662105E-3</v>
      </c>
      <c r="V12" s="9">
        <f>IFERROR(Inv_SY!V14/Inv_SY!$AA14-1,"")</f>
        <v>7.9282112931109427E-3</v>
      </c>
      <c r="W12" s="9">
        <f>IFERROR(Inv_SY!W14/Inv_SY!$AA14-1,"")</f>
        <v>4.2336051008526887E-3</v>
      </c>
      <c r="X12" s="9">
        <f>IFERROR(Inv_SY!X14/Inv_SY!$AA14-1,"")</f>
        <v>-9.9968865988319111E-3</v>
      </c>
      <c r="Y12" s="9">
        <f>IFERROR(Inv_SY!Y14/Inv_SY!$AA14-1,"")</f>
        <v>-6.2185208416946081E-3</v>
      </c>
      <c r="Z12" s="9">
        <f>IFERROR(Inv_SY!Z14/Inv_SY!$AA14-1,"")</f>
        <v>-5.2429059667668421E-2</v>
      </c>
    </row>
    <row r="13" spans="1:26" x14ac:dyDescent="0.35">
      <c r="A13" s="75" t="s">
        <v>141</v>
      </c>
      <c r="B13" s="74"/>
      <c r="C13" s="74">
        <v>2000</v>
      </c>
      <c r="D13" s="74" t="s">
        <v>142</v>
      </c>
      <c r="E13" s="74" t="s">
        <v>142</v>
      </c>
      <c r="F13" s="73">
        <f t="shared" si="0"/>
        <v>45848</v>
      </c>
      <c r="G13" s="9">
        <f>IFERROR(Inv_SY!F15/Inv_SY!$P15-1,"")</f>
        <v>9.7925229116172074E-2</v>
      </c>
      <c r="H13" s="9">
        <f>IFERROR(Inv_SY!G15/Inv_SY!$P15-1,"")</f>
        <v>6.5934400761971323E-2</v>
      </c>
      <c r="I13" s="9">
        <f>IFERROR(Inv_SY!H15/Inv_SY!$P15-1,"")</f>
        <v>8.6408530908659742E-2</v>
      </c>
      <c r="J13" s="9">
        <f>IFERROR(Inv_SY!I15/Inv_SY!$P15-1,"")</f>
        <v>-6.0359921062746236E-2</v>
      </c>
      <c r="K13" s="9">
        <f>IFERROR(Inv_SY!J15/Inv_SY!$P15-1,"")</f>
        <v>6.8277113730679018E-2</v>
      </c>
      <c r="L13" s="9">
        <f>IFERROR(Inv_SY!K15/Inv_SY!$P15-1,"")</f>
        <v>8.9060397409497005E-2</v>
      </c>
      <c r="M13" s="9">
        <f>IFERROR(Inv_SY!L15/Inv_SY!$P15-1,"")</f>
        <v>-0.14543460449605661</v>
      </c>
      <c r="N13" s="9">
        <f>IFERROR(Inv_SY!M15/Inv_SY!$P15-1,"")</f>
        <v>-2.9398267733547256E-2</v>
      </c>
      <c r="O13" s="9">
        <f>IFERROR(Inv_SY!N15/Inv_SY!$P15-1,"")</f>
        <v>-6.9435705686417437E-2</v>
      </c>
      <c r="P13" s="9">
        <f>IFERROR(Inv_SY!O15/Inv_SY!$P15-1,"")</f>
        <v>-0.10297717294820907</v>
      </c>
      <c r="Q13" s="9">
        <f>IFERROR(Inv_SY!Q15/Inv_SY!$AA15-1,"")</f>
        <v>9.406876909205053E-3</v>
      </c>
      <c r="R13" s="9">
        <f>IFERROR(Inv_SY!R15/Inv_SY!$AA15-1,"")</f>
        <v>-1.5025089605988362E-2</v>
      </c>
      <c r="S13" s="9">
        <f>IFERROR(Inv_SY!S15/Inv_SY!$AA15-1,"")</f>
        <v>4.1246577170954479E-2</v>
      </c>
      <c r="T13" s="9">
        <f>IFERROR(Inv_SY!T15/Inv_SY!$AA15-1,"")</f>
        <v>1.4111666976386328E-2</v>
      </c>
      <c r="U13" s="9">
        <f>IFERROR(Inv_SY!U15/Inv_SY!$AA15-1,"")</f>
        <v>6.6979853055493255E-3</v>
      </c>
      <c r="V13" s="9">
        <f>IFERROR(Inv_SY!V15/Inv_SY!$AA15-1,"")</f>
        <v>6.4045902406020261E-3</v>
      </c>
      <c r="W13" s="9">
        <f>IFERROR(Inv_SY!W15/Inv_SY!$AA15-1,"")</f>
        <v>1.2041507295046383E-3</v>
      </c>
      <c r="X13" s="9">
        <f>IFERROR(Inv_SY!X15/Inv_SY!$AA15-1,"")</f>
        <v>-1.4829139187638396E-2</v>
      </c>
      <c r="Y13" s="9">
        <f>IFERROR(Inv_SY!Y15/Inv_SY!$AA15-1,"")</f>
        <v>-1.096800490087646E-3</v>
      </c>
      <c r="Z13" s="9">
        <f>IFERROR(Inv_SY!Z15/Inv_SY!$AA15-1,"")</f>
        <v>-4.8120818048487668E-2</v>
      </c>
    </row>
    <row r="14" spans="1:26" x14ac:dyDescent="0.35">
      <c r="A14" s="75" t="s">
        <v>141</v>
      </c>
      <c r="B14" s="74"/>
      <c r="C14" s="74">
        <v>2000</v>
      </c>
      <c r="D14" s="74" t="s">
        <v>142</v>
      </c>
      <c r="E14" s="74" t="s">
        <v>142</v>
      </c>
      <c r="F14" s="73">
        <f t="shared" si="0"/>
        <v>45849</v>
      </c>
      <c r="G14" s="9">
        <f>IFERROR(Inv_SY!F16/Inv_SY!$P16-1,"")</f>
        <v>3.0757133822307825E-3</v>
      </c>
      <c r="H14" s="9">
        <f>IFERROR(Inv_SY!G16/Inv_SY!$P16-1,"")</f>
        <v>-1.3692268852452116E-2</v>
      </c>
      <c r="I14" s="9">
        <f>IFERROR(Inv_SY!H16/Inv_SY!$P16-1,"")</f>
        <v>2.7896923633021764E-3</v>
      </c>
      <c r="J14" s="9">
        <f>IFERROR(Inv_SY!I16/Inv_SY!$P16-1,"")</f>
        <v>-0.16990735424162939</v>
      </c>
      <c r="K14" s="9">
        <f>IFERROR(Inv_SY!J16/Inv_SY!$P16-1,"")</f>
        <v>3.4145382815768954E-3</v>
      </c>
      <c r="L14" s="9">
        <f>IFERROR(Inv_SY!K16/Inv_SY!$P16-1,"")</f>
        <v>5.2398576046532863E-3</v>
      </c>
      <c r="M14" s="9">
        <f>IFERROR(Inv_SY!L16/Inv_SY!$P16-1,"")</f>
        <v>3.634019194336835E-2</v>
      </c>
      <c r="N14" s="9">
        <f>IFERROR(Inv_SY!M16/Inv_SY!$P16-1,"")</f>
        <v>5.0841223543289349E-2</v>
      </c>
      <c r="O14" s="9">
        <f>IFERROR(Inv_SY!N16/Inv_SY!$P16-1,"")</f>
        <v>1.8472257599517317E-2</v>
      </c>
      <c r="P14" s="9">
        <f>IFERROR(Inv_SY!O16/Inv_SY!$P16-1,"")</f>
        <v>6.3426148376143132E-2</v>
      </c>
      <c r="Q14" s="9">
        <f>IFERROR(Inv_SY!Q16/Inv_SY!$AA16-1,"")</f>
        <v>1.7518048341761405E-2</v>
      </c>
      <c r="R14" s="9">
        <f>IFERROR(Inv_SY!R16/Inv_SY!$AA16-1,"")</f>
        <v>-1.2275045877993551E-2</v>
      </c>
      <c r="S14" s="9">
        <f>IFERROR(Inv_SY!S16/Inv_SY!$AA16-1,"")</f>
        <v>4.7469372022860723E-2</v>
      </c>
      <c r="T14" s="9">
        <f>IFERROR(Inv_SY!T16/Inv_SY!$AA16-1,"")</f>
        <v>-6.8325820461152653E-2</v>
      </c>
      <c r="U14" s="9">
        <f>IFERROR(Inv_SY!U16/Inv_SY!$AA16-1,"")</f>
        <v>2.4502300284471978E-2</v>
      </c>
      <c r="V14" s="9">
        <f>IFERROR(Inv_SY!V16/Inv_SY!$AA16-1,"")</f>
        <v>2.7343800653815364E-2</v>
      </c>
      <c r="W14" s="9">
        <f>IFERROR(Inv_SY!W16/Inv_SY!$AA16-1,"")</f>
        <v>1.9508492995693238E-2</v>
      </c>
      <c r="X14" s="9">
        <f>IFERROR(Inv_SY!X16/Inv_SY!$AA16-1,"")</f>
        <v>4.2239706670286203E-3</v>
      </c>
      <c r="Y14" s="9">
        <f>IFERROR(Inv_SY!Y16/Inv_SY!$AA16-1,"")</f>
        <v>-1.107368498350525E-2</v>
      </c>
      <c r="Z14" s="9">
        <f>IFERROR(Inv_SY!Z16/Inv_SY!$AA16-1,"")</f>
        <v>-4.8891433642978321E-2</v>
      </c>
    </row>
    <row r="15" spans="1:26" x14ac:dyDescent="0.35">
      <c r="A15" s="75" t="s">
        <v>141</v>
      </c>
      <c r="B15" s="74"/>
      <c r="C15" s="74">
        <v>2000</v>
      </c>
      <c r="D15" s="74" t="s">
        <v>142</v>
      </c>
      <c r="E15" s="74" t="s">
        <v>142</v>
      </c>
      <c r="F15" s="73">
        <f t="shared" si="0"/>
        <v>45850</v>
      </c>
      <c r="G15" s="9">
        <f>IFERROR(Inv_SY!F17/Inv_SY!$P17-1,"")</f>
        <v>-5.8839237926197052E-3</v>
      </c>
      <c r="H15" s="9">
        <f>IFERROR(Inv_SY!G17/Inv_SY!$P17-1,"")</f>
        <v>-1.3405196737609537E-2</v>
      </c>
      <c r="I15" s="9">
        <f>IFERROR(Inv_SY!H17/Inv_SY!$P17-1,"")</f>
        <v>-5.09909531140329E-3</v>
      </c>
      <c r="J15" s="9">
        <f>IFERROR(Inv_SY!I17/Inv_SY!$P17-1,"")</f>
        <v>-6.0663796446630558E-3</v>
      </c>
      <c r="K15" s="9">
        <f>IFERROR(Inv_SY!J17/Inv_SY!$P17-1,"")</f>
        <v>-1.5371814351136104E-3</v>
      </c>
      <c r="L15" s="9">
        <f>IFERROR(Inv_SY!K17/Inv_SY!$P17-1,"")</f>
        <v>-7.6309683889834723E-3</v>
      </c>
      <c r="M15" s="9">
        <f>IFERROR(Inv_SY!L17/Inv_SY!$P17-1,"")</f>
        <v>1.1189970577139441E-2</v>
      </c>
      <c r="N15" s="9">
        <f>IFERROR(Inv_SY!M17/Inv_SY!$P17-1,"")</f>
        <v>2.1846682543691598E-2</v>
      </c>
      <c r="O15" s="9">
        <f>IFERROR(Inv_SY!N17/Inv_SY!$P17-1,"")</f>
        <v>-1.1598057441785437E-2</v>
      </c>
      <c r="P15" s="9">
        <f>IFERROR(Inv_SY!O17/Inv_SY!$P17-1,"")</f>
        <v>1.8184149631348401E-2</v>
      </c>
      <c r="Q15" s="9">
        <f>IFERROR(Inv_SY!Q17/Inv_SY!$AA17-1,"")</f>
        <v>1.009394181296619E-2</v>
      </c>
      <c r="R15" s="9">
        <f>IFERROR(Inv_SY!R17/Inv_SY!$AA17-1,"")</f>
        <v>-1.7136008447428686E-2</v>
      </c>
      <c r="S15" s="9">
        <f>IFERROR(Inv_SY!S17/Inv_SY!$AA17-1,"")</f>
        <v>3.5321347356534361E-2</v>
      </c>
      <c r="T15" s="9">
        <f>IFERROR(Inv_SY!T17/Inv_SY!$AA17-1,"")</f>
        <v>-7.1395817974581055E-3</v>
      </c>
      <c r="U15" s="9">
        <f>IFERROR(Inv_SY!U17/Inv_SY!$AA17-1,"")</f>
        <v>-1.6491055371559149E-4</v>
      </c>
      <c r="V15" s="9">
        <f>IFERROR(Inv_SY!V17/Inv_SY!$AA17-1,"")</f>
        <v>6.8545229198822E-3</v>
      </c>
      <c r="W15" s="9">
        <f>IFERROR(Inv_SY!W17/Inv_SY!$AA17-1,"")</f>
        <v>-9.2287437883808998E-4</v>
      </c>
      <c r="X15" s="9">
        <f>IFERROR(Inv_SY!X17/Inv_SY!$AA17-1,"")</f>
        <v>-1.3364468700968635E-2</v>
      </c>
      <c r="Y15" s="9">
        <f>IFERROR(Inv_SY!Y17/Inv_SY!$AA17-1,"")</f>
        <v>1.3613638962902685E-2</v>
      </c>
      <c r="Z15" s="9">
        <f>IFERROR(Inv_SY!Z17/Inv_SY!$AA17-1,"")</f>
        <v>-2.7155607173876772E-2</v>
      </c>
    </row>
    <row r="16" spans="1:26" x14ac:dyDescent="0.35">
      <c r="A16" s="75" t="s">
        <v>141</v>
      </c>
      <c r="B16" s="74"/>
      <c r="C16" s="74">
        <v>2000</v>
      </c>
      <c r="D16" s="74" t="s">
        <v>142</v>
      </c>
      <c r="E16" s="74" t="s">
        <v>142</v>
      </c>
      <c r="F16" s="73">
        <f t="shared" si="0"/>
        <v>45851</v>
      </c>
      <c r="G16" s="9">
        <f>IFERROR(Inv_SY!F18/Inv_SY!$P18-1,"")</f>
        <v>-1.4363049544456996E-2</v>
      </c>
      <c r="H16" s="9">
        <f>IFERROR(Inv_SY!G18/Inv_SY!$P18-1,"")</f>
        <v>-1.9080343507785757E-2</v>
      </c>
      <c r="I16" s="9">
        <f>IFERROR(Inv_SY!H18/Inv_SY!$P18-1,"")</f>
        <v>-1.0478219221715546E-2</v>
      </c>
      <c r="J16" s="9">
        <f>IFERROR(Inv_SY!I18/Inv_SY!$P18-1,"")</f>
        <v>-1.7626496750862475E-2</v>
      </c>
      <c r="K16" s="9">
        <f>IFERROR(Inv_SY!J18/Inv_SY!$P18-1,"")</f>
        <v>-1.1221032931778119E-2</v>
      </c>
      <c r="L16" s="9">
        <f>IFERROR(Inv_SY!K18/Inv_SY!$P18-1,"")</f>
        <v>1.0333378184763653E-3</v>
      </c>
      <c r="M16" s="9">
        <f>IFERROR(Inv_SY!L18/Inv_SY!$P18-1,"")</f>
        <v>8.840205422254277E-3</v>
      </c>
      <c r="N16" s="9">
        <f>IFERROR(Inv_SY!M18/Inv_SY!$P18-1,"")</f>
        <v>2.5595205203740701E-2</v>
      </c>
      <c r="O16" s="9">
        <f>IFERROR(Inv_SY!N18/Inv_SY!$P18-1,"")</f>
        <v>5.0697340163052829E-5</v>
      </c>
      <c r="P16" s="9">
        <f>IFERROR(Inv_SY!O18/Inv_SY!$P18-1,"")</f>
        <v>3.7249696171965052E-2</v>
      </c>
      <c r="Q16" s="9">
        <f>IFERROR(Inv_SY!Q18/Inv_SY!$AA18-1,"")</f>
        <v>8.0854469474378465E-3</v>
      </c>
      <c r="R16" s="9">
        <f>IFERROR(Inv_SY!R18/Inv_SY!$AA18-1,"")</f>
        <v>-1.3841845934219443E-2</v>
      </c>
      <c r="S16" s="9">
        <f>IFERROR(Inv_SY!S18/Inv_SY!$AA18-1,"")</f>
        <v>4.6814575443215434E-2</v>
      </c>
      <c r="T16" s="9">
        <f>IFERROR(Inv_SY!T18/Inv_SY!$AA18-1,"")</f>
        <v>5.9339016898605212E-3</v>
      </c>
      <c r="U16" s="9">
        <f>IFERROR(Inv_SY!U18/Inv_SY!$AA18-1,"")</f>
        <v>1.1164492449184493E-2</v>
      </c>
      <c r="V16" s="9">
        <f>IFERROR(Inv_SY!V18/Inv_SY!$AA18-1,"")</f>
        <v>8.7770121764074727E-3</v>
      </c>
      <c r="W16" s="9">
        <f>IFERROR(Inv_SY!W18/Inv_SY!$AA18-1,"")</f>
        <v>-2.342154901840976E-3</v>
      </c>
      <c r="X16" s="9">
        <f>IFERROR(Inv_SY!X18/Inv_SY!$AA18-1,"")</f>
        <v>-2.0126981188112514E-2</v>
      </c>
      <c r="Y16" s="9">
        <f>IFERROR(Inv_SY!Y18/Inv_SY!$AA18-1,"")</f>
        <v>1.0212305343269001E-3</v>
      </c>
      <c r="Z16" s="9">
        <f>IFERROR(Inv_SY!Z18/Inv_SY!$AA18-1,"")</f>
        <v>-4.548567721625818E-2</v>
      </c>
    </row>
    <row r="17" spans="1:26" x14ac:dyDescent="0.35">
      <c r="A17" s="75" t="s">
        <v>141</v>
      </c>
      <c r="B17" s="74"/>
      <c r="C17" s="74">
        <v>2000</v>
      </c>
      <c r="D17" s="74" t="s">
        <v>142</v>
      </c>
      <c r="E17" s="74" t="s">
        <v>142</v>
      </c>
      <c r="F17" s="73">
        <f t="shared" si="0"/>
        <v>45852</v>
      </c>
      <c r="G17" s="9">
        <f>IFERROR(Inv_SY!F19/Inv_SY!$P19-1,"")</f>
        <v>9.1591019197251322E-2</v>
      </c>
      <c r="H17" s="9">
        <f>IFERROR(Inv_SY!G19/Inv_SY!$P19-1,"")</f>
        <v>6.0091727372819204E-2</v>
      </c>
      <c r="I17" s="9">
        <f>IFERROR(Inv_SY!H19/Inv_SY!$P19-1,"")</f>
        <v>8.3517974153003216E-2</v>
      </c>
      <c r="J17" s="9">
        <f>IFERROR(Inv_SY!I19/Inv_SY!$P19-1,"")</f>
        <v>7.5995946468918163E-2</v>
      </c>
      <c r="K17" s="9">
        <f>IFERROR(Inv_SY!J19/Inv_SY!$P19-1,"")</f>
        <v>-0.24808900464803751</v>
      </c>
      <c r="L17" s="9">
        <f>IFERROR(Inv_SY!K19/Inv_SY!$P19-1,"")</f>
        <v>-0.22307406507503413</v>
      </c>
      <c r="M17" s="9">
        <f>IFERROR(Inv_SY!L19/Inv_SY!$P19-1,"")</f>
        <v>-0.11260454657321051</v>
      </c>
      <c r="N17" s="9">
        <f>IFERROR(Inv_SY!M19/Inv_SY!$P19-1,"")</f>
        <v>8.9572757936189129E-2</v>
      </c>
      <c r="O17" s="9">
        <f>IFERROR(Inv_SY!N19/Inv_SY!$P19-1,"")</f>
        <v>8.0450896553658335E-2</v>
      </c>
      <c r="P17" s="9">
        <f>IFERROR(Inv_SY!O19/Inv_SY!$P19-1,"")</f>
        <v>0.10254729461444501</v>
      </c>
      <c r="Q17" s="9">
        <f>IFERROR(Inv_SY!Q19/Inv_SY!$AA19-1,"")</f>
        <v>8.4342628738502956E-3</v>
      </c>
      <c r="R17" s="9">
        <f>IFERROR(Inv_SY!R19/Inv_SY!$AA19-1,"")</f>
        <v>-2.8151032685363342E-2</v>
      </c>
      <c r="S17" s="9">
        <f>IFERROR(Inv_SY!S19/Inv_SY!$AA19-1,"")</f>
        <v>4.5065558710964293E-2</v>
      </c>
      <c r="T17" s="9">
        <f>IFERROR(Inv_SY!T19/Inv_SY!$AA19-1,"")</f>
        <v>1.8310721024019205E-2</v>
      </c>
      <c r="U17" s="9">
        <f>IFERROR(Inv_SY!U19/Inv_SY!$AA19-1,"")</f>
        <v>7.8692360461742883E-3</v>
      </c>
      <c r="V17" s="9">
        <f>IFERROR(Inv_SY!V19/Inv_SY!$AA19-1,"")</f>
        <v>1.0429884507598519E-2</v>
      </c>
      <c r="W17" s="9">
        <f>IFERROR(Inv_SY!W19/Inv_SY!$AA19-1,"")</f>
        <v>-3.2731968782845344E-3</v>
      </c>
      <c r="X17" s="9">
        <f>IFERROR(Inv_SY!X19/Inv_SY!$AA19-1,"")</f>
        <v>-1.6198725757030297E-2</v>
      </c>
      <c r="Y17" s="9">
        <f>IFERROR(Inv_SY!Y19/Inv_SY!$AA19-1,"")</f>
        <v>2.2426099068169059E-3</v>
      </c>
      <c r="Z17" s="9">
        <f>IFERROR(Inv_SY!Z19/Inv_SY!$AA19-1,"")</f>
        <v>-4.4729317748745112E-2</v>
      </c>
    </row>
    <row r="18" spans="1:26" x14ac:dyDescent="0.35">
      <c r="A18" s="75" t="s">
        <v>141</v>
      </c>
      <c r="B18" s="74"/>
      <c r="C18" s="74">
        <v>2000</v>
      </c>
      <c r="D18" s="74" t="s">
        <v>142</v>
      </c>
      <c r="E18" s="74" t="s">
        <v>142</v>
      </c>
      <c r="F18" s="73">
        <f t="shared" si="0"/>
        <v>45853</v>
      </c>
      <c r="G18" s="9">
        <f>IFERROR(Inv_SY!F20/Inv_SY!$P20-1,"")</f>
        <v>-1.7847495068118113E-2</v>
      </c>
      <c r="H18" s="9">
        <f>IFERROR(Inv_SY!G20/Inv_SY!$P20-1,"")</f>
        <v>-2.2434059489185865E-3</v>
      </c>
      <c r="I18" s="9">
        <f>IFERROR(Inv_SY!H20/Inv_SY!$P20-1,"")</f>
        <v>-2.2072015658114452E-3</v>
      </c>
      <c r="J18" s="9">
        <f>IFERROR(Inv_SY!I20/Inv_SY!$P20-1,"")</f>
        <v>-7.8300826454472672E-3</v>
      </c>
      <c r="K18" s="9">
        <f>IFERROR(Inv_SY!J20/Inv_SY!$P20-1,"")</f>
        <v>2.1195007107526198E-3</v>
      </c>
      <c r="L18" s="9">
        <f>IFERROR(Inv_SY!K20/Inv_SY!$P20-1,"")</f>
        <v>-6.309127227938971E-3</v>
      </c>
      <c r="M18" s="9">
        <f>IFERROR(Inv_SY!L20/Inv_SY!$P20-1,"")</f>
        <v>1.4521759514157573E-2</v>
      </c>
      <c r="N18" s="9">
        <f>IFERROR(Inv_SY!M20/Inv_SY!$P20-1,"")</f>
        <v>1.6329442585070408E-2</v>
      </c>
      <c r="O18" s="9">
        <f>IFERROR(Inv_SY!N20/Inv_SY!$P20-1,"")</f>
        <v>-7.6494017713815143E-3</v>
      </c>
      <c r="P18" s="9">
        <f>IFERROR(Inv_SY!O20/Inv_SY!$P20-1,"")</f>
        <v>1.1116011417634963E-2</v>
      </c>
      <c r="Q18" s="9">
        <f>IFERROR(Inv_SY!Q20/Inv_SY!$AA20-1,"")</f>
        <v>1.3374243310223966E-2</v>
      </c>
      <c r="R18" s="9">
        <f>IFERROR(Inv_SY!R20/Inv_SY!$AA20-1,"")</f>
        <v>-4.2562869879990917E-2</v>
      </c>
      <c r="S18" s="9">
        <f>IFERROR(Inv_SY!S20/Inv_SY!$AA20-1,"")</f>
        <v>3.4804506682942549E-2</v>
      </c>
      <c r="T18" s="9">
        <f>IFERROR(Inv_SY!T20/Inv_SY!$AA20-1,"")</f>
        <v>5.3735268205048481E-3</v>
      </c>
      <c r="U18" s="9">
        <f>IFERROR(Inv_SY!U20/Inv_SY!$AA20-1,"")</f>
        <v>-2.1972891738466505E-3</v>
      </c>
      <c r="V18" s="9">
        <f>IFERROR(Inv_SY!V20/Inv_SY!$AA20-1,"")</f>
        <v>5.6099697222491418E-3</v>
      </c>
      <c r="W18" s="9">
        <f>IFERROR(Inv_SY!W20/Inv_SY!$AA20-1,"")</f>
        <v>1.8589212532460486E-3</v>
      </c>
      <c r="X18" s="9">
        <f>IFERROR(Inv_SY!X20/Inv_SY!$AA20-1,"")</f>
        <v>-1.1238285986949426E-2</v>
      </c>
      <c r="Y18" s="9">
        <f>IFERROR(Inv_SY!Y20/Inv_SY!$AA20-1,"")</f>
        <v>1.2760105112850084E-2</v>
      </c>
      <c r="Z18" s="9">
        <f>IFERROR(Inv_SY!Z20/Inv_SY!$AA20-1,"")</f>
        <v>-1.77828278612292E-2</v>
      </c>
    </row>
    <row r="19" spans="1:26" x14ac:dyDescent="0.35">
      <c r="A19" s="75" t="s">
        <v>141</v>
      </c>
      <c r="B19" s="74"/>
      <c r="C19" s="74">
        <v>2000</v>
      </c>
      <c r="D19" s="74" t="s">
        <v>142</v>
      </c>
      <c r="E19" s="74" t="s">
        <v>142</v>
      </c>
      <c r="F19" s="73">
        <f t="shared" si="0"/>
        <v>45854</v>
      </c>
      <c r="G19" s="9">
        <f>IFERROR(Inv_SY!F21/Inv_SY!$P21-1,"")</f>
        <v>-1.8280419592303643E-3</v>
      </c>
      <c r="H19" s="9">
        <f>IFERROR(Inv_SY!G21/Inv_SY!$P21-1,"")</f>
        <v>1.4422904221782495E-3</v>
      </c>
      <c r="I19" s="9">
        <f>IFERROR(Inv_SY!H21/Inv_SY!$P21-1,"")</f>
        <v>-5.5972386022097309E-3</v>
      </c>
      <c r="J19" s="9">
        <f>IFERROR(Inv_SY!I21/Inv_SY!$P21-1,"")</f>
        <v>-0.11299679217797554</v>
      </c>
      <c r="K19" s="9">
        <f>IFERROR(Inv_SY!J21/Inv_SY!$P21-1,"")</f>
        <v>-3.2674998627030272E-3</v>
      </c>
      <c r="L19" s="9">
        <f>IFERROR(Inv_SY!K21/Inv_SY!$P21-1,"")</f>
        <v>6.5190877318732632E-4</v>
      </c>
      <c r="M19" s="9">
        <f>IFERROR(Inv_SY!L21/Inv_SY!$P21-1,"")</f>
        <v>3.8216531072809978E-4</v>
      </c>
      <c r="N19" s="9">
        <f>IFERROR(Inv_SY!M21/Inv_SY!$P21-1,"")</f>
        <v>4.7614949298675269E-2</v>
      </c>
      <c r="O19" s="9">
        <f>IFERROR(Inv_SY!N21/Inv_SY!$P21-1,"")</f>
        <v>1.9110068561474902E-2</v>
      </c>
      <c r="P19" s="9">
        <f>IFERROR(Inv_SY!O21/Inv_SY!$P21-1,"")</f>
        <v>5.4488190235872924E-2</v>
      </c>
      <c r="Q19" s="9">
        <f>IFERROR(Inv_SY!Q21/Inv_SY!$AA21-1,"")</f>
        <v>2.4289782359776968E-2</v>
      </c>
      <c r="R19" s="9">
        <f>IFERROR(Inv_SY!R21/Inv_SY!$AA21-1,"")</f>
        <v>-3.5091640926860679E-2</v>
      </c>
      <c r="S19" s="9">
        <f>IFERROR(Inv_SY!S21/Inv_SY!$AA21-1,"")</f>
        <v>3.9861328296637133E-2</v>
      </c>
      <c r="T19" s="9">
        <f>IFERROR(Inv_SY!T21/Inv_SY!$AA21-1,"")</f>
        <v>1.1879571721387094E-2</v>
      </c>
      <c r="U19" s="9">
        <f>IFERROR(Inv_SY!U21/Inv_SY!$AA21-1,"")</f>
        <v>3.4943602443642252E-3</v>
      </c>
      <c r="V19" s="9">
        <f>IFERROR(Inv_SY!V21/Inv_SY!$AA21-1,"")</f>
        <v>9.9181678505990689E-3</v>
      </c>
      <c r="W19" s="9">
        <f>IFERROR(Inv_SY!W21/Inv_SY!$AA21-1,"")</f>
        <v>1.0582088079929441E-2</v>
      </c>
      <c r="X19" s="9">
        <f>IFERROR(Inv_SY!X21/Inv_SY!$AA21-1,"")</f>
        <v>-2.3211040569970365E-4</v>
      </c>
      <c r="Y19" s="9">
        <f>IFERROR(Inv_SY!Y21/Inv_SY!$AA21-1,"")</f>
        <v>-1.5770595825887246E-2</v>
      </c>
      <c r="Z19" s="9">
        <f>IFERROR(Inv_SY!Z21/Inv_SY!$AA21-1,"")</f>
        <v>-4.893095139424819E-2</v>
      </c>
    </row>
    <row r="20" spans="1:26" x14ac:dyDescent="0.35">
      <c r="A20" s="75" t="s">
        <v>141</v>
      </c>
      <c r="B20" s="74"/>
      <c r="C20" s="74">
        <v>2000</v>
      </c>
      <c r="D20" s="74" t="s">
        <v>142</v>
      </c>
      <c r="E20" s="74" t="s">
        <v>142</v>
      </c>
      <c r="F20" s="73">
        <f t="shared" si="0"/>
        <v>45855</v>
      </c>
      <c r="G20" s="9">
        <f>IFERROR(Inv_SY!F22/Inv_SY!$P22-1,"")</f>
        <v>-3.3462861931604637E-2</v>
      </c>
      <c r="H20" s="9">
        <f>IFERROR(Inv_SY!G22/Inv_SY!$P22-1,"")</f>
        <v>-0.15925654968297753</v>
      </c>
      <c r="I20" s="9">
        <f>IFERROR(Inv_SY!H22/Inv_SY!$P22-1,"")</f>
        <v>2.3746501380854879E-2</v>
      </c>
      <c r="J20" s="9">
        <f>IFERROR(Inv_SY!I22/Inv_SY!$P22-1,"")</f>
        <v>1.4877577441737344E-2</v>
      </c>
      <c r="K20" s="9">
        <f>IFERROR(Inv_SY!J22/Inv_SY!$P22-1,"")</f>
        <v>1.4584767984887614E-2</v>
      </c>
      <c r="L20" s="9">
        <f>IFERROR(Inv_SY!K22/Inv_SY!$P22-1,"")</f>
        <v>2.3808265875659318E-2</v>
      </c>
      <c r="M20" s="9">
        <f>IFERROR(Inv_SY!L22/Inv_SY!$P22-1,"")</f>
        <v>-6.0086316003168383E-2</v>
      </c>
      <c r="N20" s="9">
        <f>IFERROR(Inv_SY!M22/Inv_SY!$P22-1,"")</f>
        <v>6.0547846201735256E-2</v>
      </c>
      <c r="O20" s="9">
        <f>IFERROR(Inv_SY!N22/Inv_SY!$P22-1,"")</f>
        <v>3.5288577080130556E-2</v>
      </c>
      <c r="P20" s="9">
        <f>IFERROR(Inv_SY!O22/Inv_SY!$P22-1,"")</f>
        <v>7.995219165274503E-2</v>
      </c>
      <c r="Q20" s="9">
        <f>IFERROR(Inv_SY!Q22/Inv_SY!$AA22-1,"")</f>
        <v>5.5881188103528157E-3</v>
      </c>
      <c r="R20" s="9">
        <f>IFERROR(Inv_SY!R22/Inv_SY!$AA22-1,"")</f>
        <v>-4.2389385650743572E-2</v>
      </c>
      <c r="S20" s="9">
        <f>IFERROR(Inv_SY!S22/Inv_SY!$AA22-1,"")</f>
        <v>4.1658229731747154E-2</v>
      </c>
      <c r="T20" s="9">
        <f>IFERROR(Inv_SY!T22/Inv_SY!$AA22-1,"")</f>
        <v>1.2242454657817037E-2</v>
      </c>
      <c r="U20" s="9">
        <f>IFERROR(Inv_SY!U22/Inv_SY!$AA22-1,"")</f>
        <v>6.9878467526507393E-3</v>
      </c>
      <c r="V20" s="9">
        <f>IFERROR(Inv_SY!V22/Inv_SY!$AA22-1,"")</f>
        <v>5.4865870996667621E-3</v>
      </c>
      <c r="W20" s="9">
        <f>IFERROR(Inv_SY!W22/Inv_SY!$AA22-1,"")</f>
        <v>-4.1987207016446204E-3</v>
      </c>
      <c r="X20" s="9">
        <f>IFERROR(Inv_SY!X22/Inv_SY!$AA22-1,"")</f>
        <v>-2.4071600689987149E-2</v>
      </c>
      <c r="Y20" s="9">
        <f>IFERROR(Inv_SY!Y22/Inv_SY!$AA22-1,"")</f>
        <v>6.9547907781641882E-4</v>
      </c>
      <c r="Z20" s="9">
        <f>IFERROR(Inv_SY!Z22/Inv_SY!$AA22-1,"")</f>
        <v>-1.999009087675474E-3</v>
      </c>
    </row>
    <row r="21" spans="1:26" x14ac:dyDescent="0.35">
      <c r="A21" s="75" t="s">
        <v>141</v>
      </c>
      <c r="B21" s="74"/>
      <c r="C21" s="74">
        <v>2000</v>
      </c>
      <c r="D21" s="74" t="s">
        <v>142</v>
      </c>
      <c r="E21" s="74" t="s">
        <v>142</v>
      </c>
      <c r="F21" s="73">
        <f t="shared" si="0"/>
        <v>45856</v>
      </c>
      <c r="G21" s="9">
        <f>IFERROR(Inv_SY!F23/Inv_SY!$P23-1,"")</f>
        <v>-2.18643103798839E-2</v>
      </c>
      <c r="H21" s="9">
        <f>IFERROR(Inv_SY!G23/Inv_SY!$P23-1,"")</f>
        <v>-1.6618396841802885E-2</v>
      </c>
      <c r="I21" s="9">
        <f>IFERROR(Inv_SY!H23/Inv_SY!$P23-1,"")</f>
        <v>-1.3603029217551854E-2</v>
      </c>
      <c r="J21" s="9">
        <f>IFERROR(Inv_SY!I23/Inv_SY!$P23-1,"")</f>
        <v>-1.3775315764868679E-2</v>
      </c>
      <c r="K21" s="9">
        <f>IFERROR(Inv_SY!J23/Inv_SY!$P23-1,"")</f>
        <v>-1.9505396866454805E-2</v>
      </c>
      <c r="L21" s="9">
        <f>IFERROR(Inv_SY!K23/Inv_SY!$P23-1,"")</f>
        <v>-1.8788383563522304E-2</v>
      </c>
      <c r="M21" s="9">
        <f>IFERROR(Inv_SY!L23/Inv_SY!$P23-1,"")</f>
        <v>1.8801420232765098E-2</v>
      </c>
      <c r="N21" s="9">
        <f>IFERROR(Inv_SY!M23/Inv_SY!$P23-1,"")</f>
        <v>3.6625560249427203E-2</v>
      </c>
      <c r="O21" s="9">
        <f>IFERROR(Inv_SY!N23/Inv_SY!$P23-1,"")</f>
        <v>2.5192057541592039E-3</v>
      </c>
      <c r="P21" s="9">
        <f>IFERROR(Inv_SY!O23/Inv_SY!$P23-1,"")</f>
        <v>4.6208646397732256E-2</v>
      </c>
      <c r="Q21" s="9">
        <f>IFERROR(Inv_SY!Q23/Inv_SY!$AA23-1,"")</f>
        <v>1.4669907134964522E-2</v>
      </c>
      <c r="R21" s="9">
        <f>IFERROR(Inv_SY!R23/Inv_SY!$AA23-1,"")</f>
        <v>-2.7487462773570948E-2</v>
      </c>
      <c r="S21" s="9">
        <f>IFERROR(Inv_SY!S23/Inv_SY!$AA23-1,"")</f>
        <v>4.1160880169876846E-2</v>
      </c>
      <c r="T21" s="9">
        <f>IFERROR(Inv_SY!T23/Inv_SY!$AA23-1,"")</f>
        <v>1.2441796808250638E-2</v>
      </c>
      <c r="U21" s="9">
        <f>IFERROR(Inv_SY!U23/Inv_SY!$AA23-1,"")</f>
        <v>5.8054478977187518E-3</v>
      </c>
      <c r="V21" s="9">
        <f>IFERROR(Inv_SY!V23/Inv_SY!$AA23-1,"")</f>
        <v>8.2906795583534976E-3</v>
      </c>
      <c r="W21" s="9">
        <f>IFERROR(Inv_SY!W23/Inv_SY!$AA23-1,"")</f>
        <v>4.1359923388235575E-3</v>
      </c>
      <c r="X21" s="9">
        <f>IFERROR(Inv_SY!X23/Inv_SY!$AA23-1,"")</f>
        <v>-1.2775886991528096E-2</v>
      </c>
      <c r="Y21" s="9">
        <f>IFERROR(Inv_SY!Y23/Inv_SY!$AA23-1,"")</f>
        <v>-2.0536385820474901E-2</v>
      </c>
      <c r="Z21" s="9">
        <f>IFERROR(Inv_SY!Z23/Inv_SY!$AA23-1,"")</f>
        <v>-2.5704968322412314E-2</v>
      </c>
    </row>
    <row r="22" spans="1:26" x14ac:dyDescent="0.35">
      <c r="A22" s="75" t="s">
        <v>141</v>
      </c>
      <c r="B22" s="74"/>
      <c r="C22" s="74">
        <v>2000</v>
      </c>
      <c r="D22" s="74" t="s">
        <v>142</v>
      </c>
      <c r="E22" s="74" t="s">
        <v>142</v>
      </c>
      <c r="F22" s="73">
        <f t="shared" si="0"/>
        <v>45857</v>
      </c>
      <c r="G22" s="9">
        <f>IFERROR(Inv_SY!F24/Inv_SY!$P24-1,"")</f>
        <v>-1.0309660718858749E-2</v>
      </c>
      <c r="H22" s="9">
        <f>IFERROR(Inv_SY!G24/Inv_SY!$P24-1,"")</f>
        <v>-1.5229465451001456E-2</v>
      </c>
      <c r="I22" s="9">
        <f>IFERROR(Inv_SY!H24/Inv_SY!$P24-1,"")</f>
        <v>-1.0060556681788291E-2</v>
      </c>
      <c r="J22" s="9">
        <f>IFERROR(Inv_SY!I24/Inv_SY!$P24-1,"")</f>
        <v>-1.0410579790287366E-2</v>
      </c>
      <c r="K22" s="9">
        <f>IFERROR(Inv_SY!J24/Inv_SY!$P24-1,"")</f>
        <v>-2.0722209468406194E-2</v>
      </c>
      <c r="L22" s="9">
        <f>IFERROR(Inv_SY!K24/Inv_SY!$P24-1,"")</f>
        <v>-1.1827704978955245E-2</v>
      </c>
      <c r="M22" s="9">
        <f>IFERROR(Inv_SY!L24/Inv_SY!$P24-1,"")</f>
        <v>1.764780313918668E-2</v>
      </c>
      <c r="N22" s="9">
        <f>IFERROR(Inv_SY!M24/Inv_SY!$P24-1,"")</f>
        <v>3.4030857879692178E-2</v>
      </c>
      <c r="O22" s="9">
        <f>IFERROR(Inv_SY!N24/Inv_SY!$P24-1,"")</f>
        <v>-6.9002377722043873E-3</v>
      </c>
      <c r="P22" s="9">
        <f>IFERROR(Inv_SY!O24/Inv_SY!$P24-1,"")</f>
        <v>3.378175384262172E-2</v>
      </c>
      <c r="Q22" s="9">
        <f>IFERROR(Inv_SY!Q24/Inv_SY!$AA24-1,"")</f>
        <v>9.2022304253256415E-3</v>
      </c>
      <c r="R22" s="9">
        <f>IFERROR(Inv_SY!R24/Inv_SY!$AA24-1,"")</f>
        <v>-1.6123703877905515E-2</v>
      </c>
      <c r="S22" s="9">
        <f>IFERROR(Inv_SY!S24/Inv_SY!$AA24-1,"")</f>
        <v>3.6554234057475155E-2</v>
      </c>
      <c r="T22" s="9">
        <f>IFERROR(Inv_SY!T24/Inv_SY!$AA24-1,"")</f>
        <v>4.5435189830123068E-3</v>
      </c>
      <c r="U22" s="9">
        <f>IFERROR(Inv_SY!U24/Inv_SY!$AA24-1,"")</f>
        <v>2.0823301258752203E-3</v>
      </c>
      <c r="V22" s="9">
        <f>IFERROR(Inv_SY!V24/Inv_SY!$AA24-1,"")</f>
        <v>7.9899138371990475E-3</v>
      </c>
      <c r="W22" s="9">
        <f>IFERROR(Inv_SY!W24/Inv_SY!$AA24-1,"")</f>
        <v>2.8396909778609647E-3</v>
      </c>
      <c r="X22" s="9">
        <f>IFERROR(Inv_SY!X24/Inv_SY!$AA24-1,"")</f>
        <v>-1.1326126618846133E-2</v>
      </c>
      <c r="Y22" s="9">
        <f>IFERROR(Inv_SY!Y24/Inv_SY!$AA24-1,"")</f>
        <v>-1.7901747245385624E-2</v>
      </c>
      <c r="Z22" s="9">
        <f>IFERROR(Inv_SY!Z24/Inv_SY!$AA24-1,"")</f>
        <v>-1.786034066460962E-2</v>
      </c>
    </row>
    <row r="23" spans="1:26" x14ac:dyDescent="0.35">
      <c r="A23" s="75" t="s">
        <v>141</v>
      </c>
      <c r="B23" s="74"/>
      <c r="C23" s="74">
        <v>2000</v>
      </c>
      <c r="D23" s="74" t="s">
        <v>142</v>
      </c>
      <c r="E23" s="74" t="s">
        <v>142</v>
      </c>
      <c r="F23" s="73">
        <f t="shared" si="0"/>
        <v>45858</v>
      </c>
      <c r="G23" s="9">
        <f>IFERROR(Inv_SY!F25/Inv_SY!$P25-1,"")</f>
        <v>-7.5093203949727627E-4</v>
      </c>
      <c r="H23" s="9">
        <f>IFERROR(Inv_SY!G25/Inv_SY!$P25-1,"")</f>
        <v>-0.18564898922362705</v>
      </c>
      <c r="I23" s="9">
        <f>IFERROR(Inv_SY!H25/Inv_SY!$P25-1,"")</f>
        <v>2.4851691825467093E-4</v>
      </c>
      <c r="J23" s="9">
        <f>IFERROR(Inv_SY!I25/Inv_SY!$P25-1,"")</f>
        <v>5.591212269848489E-3</v>
      </c>
      <c r="K23" s="9">
        <f>IFERROR(Inv_SY!J25/Inv_SY!$P25-1,"")</f>
        <v>6.2390602096424885E-3</v>
      </c>
      <c r="L23" s="9">
        <f>IFERROR(Inv_SY!K25/Inv_SY!$P25-1,"")</f>
        <v>2.072406541204419E-2</v>
      </c>
      <c r="M23" s="9">
        <f>IFERROR(Inv_SY!L25/Inv_SY!$P25-1,"")</f>
        <v>3.9608027336443641E-2</v>
      </c>
      <c r="N23" s="9">
        <f>IFERROR(Inv_SY!M25/Inv_SY!$P25-1,"")</f>
        <v>5.8216556467873826E-2</v>
      </c>
      <c r="O23" s="9">
        <f>IFERROR(Inv_SY!N25/Inv_SY!$P25-1,"")</f>
        <v>7.9501953417624449E-3</v>
      </c>
      <c r="P23" s="9">
        <f>IFERROR(Inv_SY!O25/Inv_SY!$P25-1,"")</f>
        <v>4.7822287307252465E-2</v>
      </c>
      <c r="Q23" s="9">
        <f>IFERROR(Inv_SY!Q25/Inv_SY!$AA25-1,"")</f>
        <v>1.7317621896176805E-2</v>
      </c>
      <c r="R23" s="9">
        <f>IFERROR(Inv_SY!R25/Inv_SY!$AA25-1,"")</f>
        <v>-9.5873862817305033E-3</v>
      </c>
      <c r="S23" s="9">
        <f>IFERROR(Inv_SY!S25/Inv_SY!$AA25-1,"")</f>
        <v>4.1838184154686875E-2</v>
      </c>
      <c r="T23" s="9">
        <f>IFERROR(Inv_SY!T25/Inv_SY!$AA25-1,"")</f>
        <v>6.4777718422714958E-3</v>
      </c>
      <c r="U23" s="9">
        <f>IFERROR(Inv_SY!U25/Inv_SY!$AA25-1,"")</f>
        <v>5.5956044593359344E-3</v>
      </c>
      <c r="V23" s="9">
        <f>IFERROR(Inv_SY!V25/Inv_SY!$AA25-1,"")</f>
        <v>1.6283438552936014E-2</v>
      </c>
      <c r="W23" s="9">
        <f>IFERROR(Inv_SY!W25/Inv_SY!$AA25-1,"")</f>
        <v>1.0391342892757338E-2</v>
      </c>
      <c r="X23" s="9">
        <f>IFERROR(Inv_SY!X25/Inv_SY!$AA25-1,"")</f>
        <v>-4.9605017310647703E-3</v>
      </c>
      <c r="Y23" s="9">
        <f>IFERROR(Inv_SY!Y25/Inv_SY!$AA25-1,"")</f>
        <v>-3.5406012021882316E-2</v>
      </c>
      <c r="Z23" s="9">
        <f>IFERROR(Inv_SY!Z25/Inv_SY!$AA25-1,"")</f>
        <v>-4.7950063763485318E-2</v>
      </c>
    </row>
    <row r="24" spans="1:26" x14ac:dyDescent="0.35">
      <c r="A24" s="75" t="s">
        <v>141</v>
      </c>
      <c r="B24" s="74"/>
      <c r="C24" s="74">
        <v>2000</v>
      </c>
      <c r="D24" s="74" t="s">
        <v>142</v>
      </c>
      <c r="E24" s="74" t="s">
        <v>142</v>
      </c>
      <c r="F24" s="73">
        <f t="shared" si="0"/>
        <v>45859</v>
      </c>
      <c r="G24" s="9">
        <f>IFERROR(Inv_SY!F26/Inv_SY!$P26-1,"")</f>
        <v>1.5832226526235615E-5</v>
      </c>
      <c r="H24" s="9">
        <f>IFERROR(Inv_SY!G26/Inv_SY!$P26-1,"")</f>
        <v>-1.7004252812840126E-2</v>
      </c>
      <c r="I24" s="9">
        <f>IFERROR(Inv_SY!H26/Inv_SY!$P26-1,"")</f>
        <v>1.1930139007187979E-3</v>
      </c>
      <c r="J24" s="9">
        <f>IFERROR(Inv_SY!I26/Inv_SY!$P26-1,"")</f>
        <v>1.4487788472418384E-2</v>
      </c>
      <c r="K24" s="9">
        <f>IFERROR(Inv_SY!J26/Inv_SY!$P26-1,"")</f>
        <v>1.8244037689214787E-2</v>
      </c>
      <c r="L24" s="9">
        <f>IFERROR(Inv_SY!K26/Inv_SY!$P26-1,"")</f>
        <v>3.068790853356651E-3</v>
      </c>
      <c r="M24" s="9">
        <f>IFERROR(Inv_SY!L26/Inv_SY!$P26-1,"")</f>
        <v>4.3188729296588235E-2</v>
      </c>
      <c r="N24" s="9">
        <f>IFERROR(Inv_SY!M26/Inv_SY!$P26-1,"")</f>
        <v>3.0622555755531078E-2</v>
      </c>
      <c r="O24" s="9">
        <f>IFERROR(Inv_SY!N26/Inv_SY!$P26-1,"")</f>
        <v>-0.13444509536768279</v>
      </c>
      <c r="P24" s="9">
        <f>IFERROR(Inv_SY!O26/Inv_SY!$P26-1,"")</f>
        <v>4.0628599986167524E-2</v>
      </c>
      <c r="Q24" s="9">
        <f>IFERROR(Inv_SY!Q26/Inv_SY!$AA26-1,"")</f>
        <v>9.7804005067390065E-3</v>
      </c>
      <c r="R24" s="9">
        <f>IFERROR(Inv_SY!R26/Inv_SY!$AA26-1,"")</f>
        <v>-1.252147653000546E-2</v>
      </c>
      <c r="S24" s="9">
        <f>IFERROR(Inv_SY!S26/Inv_SY!$AA26-1,"")</f>
        <v>4.3389311646017337E-2</v>
      </c>
      <c r="T24" s="9">
        <f>IFERROR(Inv_SY!T26/Inv_SY!$AA26-1,"")</f>
        <v>1.430820981308667E-2</v>
      </c>
      <c r="U24" s="9">
        <f>IFERROR(Inv_SY!U26/Inv_SY!$AA26-1,"")</f>
        <v>6.6413881174243183E-3</v>
      </c>
      <c r="V24" s="9">
        <f>IFERROR(Inv_SY!V26/Inv_SY!$AA26-1,"")</f>
        <v>2.2067100430673392E-2</v>
      </c>
      <c r="W24" s="9">
        <f>IFERROR(Inv_SY!W26/Inv_SY!$AA26-1,"")</f>
        <v>-7.5208792744008157E-4</v>
      </c>
      <c r="X24" s="9">
        <f>IFERROR(Inv_SY!X26/Inv_SY!$AA26-1,"")</f>
        <v>-2.0999119212625761E-3</v>
      </c>
      <c r="Y24" s="9">
        <f>IFERROR(Inv_SY!Y26/Inv_SY!$AA26-1,"")</f>
        <v>-3.9391198710324704E-2</v>
      </c>
      <c r="Z24" s="9">
        <f>IFERROR(Inv_SY!Z26/Inv_SY!$AA26-1,"")</f>
        <v>-4.1421735424905903E-2</v>
      </c>
    </row>
    <row r="25" spans="1:26" x14ac:dyDescent="0.35">
      <c r="A25" s="75" t="s">
        <v>141</v>
      </c>
      <c r="B25" s="74"/>
      <c r="C25" s="74">
        <v>2000</v>
      </c>
      <c r="D25" s="74" t="s">
        <v>142</v>
      </c>
      <c r="E25" s="74" t="s">
        <v>142</v>
      </c>
      <c r="F25" s="73">
        <f t="shared" si="0"/>
        <v>45860</v>
      </c>
      <c r="G25" s="9">
        <f>IFERROR(Inv_SY!F27/Inv_SY!$P27-1,"")</f>
        <v>-1.8418164518091973E-2</v>
      </c>
      <c r="H25" s="9">
        <f>IFERROR(Inv_SY!G27/Inv_SY!$P27-1,"")</f>
        <v>2.6609528812191474E-3</v>
      </c>
      <c r="I25" s="9">
        <f>IFERROR(Inv_SY!H27/Inv_SY!$P27-1,"")</f>
        <v>-1.7554855955662974E-2</v>
      </c>
      <c r="J25" s="9">
        <f>IFERROR(Inv_SY!I27/Inv_SY!$P27-1,"")</f>
        <v>8.9092437138393876E-4</v>
      </c>
      <c r="K25" s="9">
        <f>IFERROR(Inv_SY!J27/Inv_SY!$P27-1,"")</f>
        <v>-1.7971014954987652E-2</v>
      </c>
      <c r="L25" s="9">
        <f>IFERROR(Inv_SY!K27/Inv_SY!$P27-1,"")</f>
        <v>-2.740132873322576E-2</v>
      </c>
      <c r="M25" s="9">
        <f>IFERROR(Inv_SY!L27/Inv_SY!$P27-1,"")</f>
        <v>2.4951575253326697E-2</v>
      </c>
      <c r="N25" s="9">
        <f>IFERROR(Inv_SY!M27/Inv_SY!$P27-1,"")</f>
        <v>2.2445107436886325E-2</v>
      </c>
      <c r="O25" s="9">
        <f>IFERROR(Inv_SY!N27/Inv_SY!$P27-1,"")</f>
        <v>1.4570395760889365E-2</v>
      </c>
      <c r="P25" s="9">
        <f>IFERROR(Inv_SY!O27/Inv_SY!$P27-1,"")</f>
        <v>1.5826408458263108E-2</v>
      </c>
      <c r="Q25" s="9">
        <f>IFERROR(Inv_SY!Q27/Inv_SY!$AA27-1,"")</f>
        <v>8.0689584381130608E-3</v>
      </c>
      <c r="R25" s="9">
        <f>IFERROR(Inv_SY!R27/Inv_SY!$AA27-1,"")</f>
        <v>-4.6194090160944778E-3</v>
      </c>
      <c r="S25" s="9">
        <f>IFERROR(Inv_SY!S27/Inv_SY!$AA27-1,"")</f>
        <v>5.0687389709582087E-2</v>
      </c>
      <c r="T25" s="9">
        <f>IFERROR(Inv_SY!T27/Inv_SY!$AA27-1,"")</f>
        <v>2.9539406379048394E-2</v>
      </c>
      <c r="U25" s="9">
        <f>IFERROR(Inv_SY!U27/Inv_SY!$AA27-1,"")</f>
        <v>1.204966474988467E-2</v>
      </c>
      <c r="V25" s="9">
        <f>IFERROR(Inv_SY!V27/Inv_SY!$AA27-1,"")</f>
        <v>1.7943645436514055E-2</v>
      </c>
      <c r="W25" s="9">
        <f>IFERROR(Inv_SY!W27/Inv_SY!$AA27-1,"")</f>
        <v>-5.3347928209070972E-3</v>
      </c>
      <c r="X25" s="9">
        <f>IFERROR(Inv_SY!X27/Inv_SY!$AA27-1,"")</f>
        <v>-1.1278260120094807E-2</v>
      </c>
      <c r="Y25" s="9">
        <f>IFERROR(Inv_SY!Y27/Inv_SY!$AA27-1,"")</f>
        <v>-5.0530383434866821E-2</v>
      </c>
      <c r="Z25" s="9">
        <f>IFERROR(Inv_SY!Z27/Inv_SY!$AA27-1,"")</f>
        <v>-4.6526219321179951E-2</v>
      </c>
    </row>
    <row r="26" spans="1:26" x14ac:dyDescent="0.35">
      <c r="A26" s="75" t="s">
        <v>141</v>
      </c>
      <c r="B26" s="74"/>
      <c r="C26" s="74">
        <v>2000</v>
      </c>
      <c r="D26" s="74" t="s">
        <v>142</v>
      </c>
      <c r="E26" s="74" t="s">
        <v>142</v>
      </c>
      <c r="F26" s="73">
        <f t="shared" si="0"/>
        <v>45861</v>
      </c>
      <c r="G26" s="9">
        <f>IFERROR(Inv_SY!F28/Inv_SY!$P28-1,"")</f>
        <v>-7.9914184629578111E-3</v>
      </c>
      <c r="H26" s="9">
        <f>IFERROR(Inv_SY!G28/Inv_SY!$P28-1,"")</f>
        <v>-1.2803400388323949E-2</v>
      </c>
      <c r="I26" s="9">
        <f>IFERROR(Inv_SY!H28/Inv_SY!$P28-1,"")</f>
        <v>-7.9988503603667382E-4</v>
      </c>
      <c r="J26" s="9">
        <f>IFERROR(Inv_SY!I28/Inv_SY!$P28-1,"")</f>
        <v>-9.2301411135676803E-3</v>
      </c>
      <c r="K26" s="9">
        <f>IFERROR(Inv_SY!J28/Inv_SY!$P28-1,"")</f>
        <v>-3.9368254086845633E-3</v>
      </c>
      <c r="L26" s="9">
        <f>IFERROR(Inv_SY!K28/Inv_SY!$P28-1,"")</f>
        <v>-3.9233269715501784E-3</v>
      </c>
      <c r="M26" s="9">
        <f>IFERROR(Inv_SY!L28/Inv_SY!$P28-1,"")</f>
        <v>1.05561880619085E-2</v>
      </c>
      <c r="N26" s="9">
        <f>IFERROR(Inv_SY!M28/Inv_SY!$P28-1,"")</f>
        <v>1.0198930793371863E-2</v>
      </c>
      <c r="O26" s="9">
        <f>IFERROR(Inv_SY!N28/Inv_SY!$P28-1,"")</f>
        <v>6.4618535983060887E-3</v>
      </c>
      <c r="P26" s="9">
        <f>IFERROR(Inv_SY!O28/Inv_SY!$P28-1,"")</f>
        <v>1.1468024927534293E-2</v>
      </c>
      <c r="Q26" s="9">
        <f>IFERROR(Inv_SY!Q28/Inv_SY!$AA28-1,"")</f>
        <v>-5.268657632613083E-3</v>
      </c>
      <c r="R26" s="9">
        <f>IFERROR(Inv_SY!R28/Inv_SY!$AA28-1,"")</f>
        <v>-2.7302835252257518E-2</v>
      </c>
      <c r="S26" s="9">
        <f>IFERROR(Inv_SY!S28/Inv_SY!$AA28-1,"")</f>
        <v>3.2453343653156885E-2</v>
      </c>
      <c r="T26" s="9">
        <f>IFERROR(Inv_SY!T28/Inv_SY!$AA28-1,"")</f>
        <v>4.1234776678704677E-3</v>
      </c>
      <c r="U26" s="9">
        <f>IFERROR(Inv_SY!U28/Inv_SY!$AA28-1,"")</f>
        <v>-3.9194201383970784E-3</v>
      </c>
      <c r="V26" s="9">
        <f>IFERROR(Inv_SY!V28/Inv_SY!$AA28-1,"")</f>
        <v>7.6861617561423401E-3</v>
      </c>
      <c r="W26" s="9">
        <f>IFERROR(Inv_SY!W28/Inv_SY!$AA28-1,"")</f>
        <v>-1.1429608411075876E-2</v>
      </c>
      <c r="X26" s="9">
        <f>IFERROR(Inv_SY!X28/Inv_SY!$AA28-1,"")</f>
        <v>-1.5402768734205541E-2</v>
      </c>
      <c r="Y26" s="9">
        <f>IFERROR(Inv_SY!Y28/Inv_SY!$AA28-1,"")</f>
        <v>3.7059460986055281E-3</v>
      </c>
      <c r="Z26" s="9">
        <f>IFERROR(Inv_SY!Z28/Inv_SY!$AA28-1,"")</f>
        <v>1.5354360992774208E-2</v>
      </c>
    </row>
    <row r="27" spans="1:26" x14ac:dyDescent="0.35">
      <c r="A27" s="75" t="s">
        <v>141</v>
      </c>
      <c r="B27" s="74"/>
      <c r="C27" s="74">
        <v>2000</v>
      </c>
      <c r="D27" s="74" t="s">
        <v>142</v>
      </c>
      <c r="E27" s="74" t="s">
        <v>142</v>
      </c>
      <c r="F27" s="73">
        <f t="shared" si="0"/>
        <v>45862</v>
      </c>
      <c r="G27" s="9">
        <f>IFERROR(Inv_SY!F29/Inv_SY!$P29-1,"")</f>
        <v>-1.9445697153531727E-3</v>
      </c>
      <c r="H27" s="9">
        <f>IFERROR(Inv_SY!G29/Inv_SY!$P29-1,"")</f>
        <v>-1.5984167114300174E-2</v>
      </c>
      <c r="I27" s="9">
        <f>IFERROR(Inv_SY!H29/Inv_SY!$P29-1,"")</f>
        <v>6.2303857321350797E-3</v>
      </c>
      <c r="J27" s="9">
        <f>IFERROR(Inv_SY!I29/Inv_SY!$P29-1,"")</f>
        <v>-2.0721145200241819E-2</v>
      </c>
      <c r="K27" s="9">
        <f>IFERROR(Inv_SY!J29/Inv_SY!$P29-1,"")</f>
        <v>-9.993756617495464E-3</v>
      </c>
      <c r="L27" s="9">
        <f>IFERROR(Inv_SY!K29/Inv_SY!$P29-1,"")</f>
        <v>-9.5741230813329858E-3</v>
      </c>
      <c r="M27" s="9">
        <f>IFERROR(Inv_SY!L29/Inv_SY!$P29-1,"")</f>
        <v>1.951403389575801E-2</v>
      </c>
      <c r="N27" s="9">
        <f>IFERROR(Inv_SY!M29/Inv_SY!$P29-1,"")</f>
        <v>1.5827072561795053E-2</v>
      </c>
      <c r="O27" s="9">
        <f>IFERROR(Inv_SY!N29/Inv_SY!$P29-1,"")</f>
        <v>1.3259346571244057E-2</v>
      </c>
      <c r="P27" s="9">
        <f>IFERROR(Inv_SY!O29/Inv_SY!$P29-1,"")</f>
        <v>3.3869229677911949E-3</v>
      </c>
      <c r="Q27" s="9">
        <f>IFERROR(Inv_SY!Q29/Inv_SY!$AA29-1,"")</f>
        <v>7.9630336679494818E-3</v>
      </c>
      <c r="R27" s="9">
        <f>IFERROR(Inv_SY!R29/Inv_SY!$AA29-1,"")</f>
        <v>-1.7534500214583915E-2</v>
      </c>
      <c r="S27" s="9">
        <f>IFERROR(Inv_SY!S29/Inv_SY!$AA29-1,"")</f>
        <v>3.5602220319951083E-2</v>
      </c>
      <c r="T27" s="9">
        <f>IFERROR(Inv_SY!T29/Inv_SY!$AA29-1,"")</f>
        <v>5.9031848516193364E-3</v>
      </c>
      <c r="U27" s="9">
        <f>IFERROR(Inv_SY!U29/Inv_SY!$AA29-1,"")</f>
        <v>1.3800176847982293E-3</v>
      </c>
      <c r="V27" s="9">
        <f>IFERROR(Inv_SY!V29/Inv_SY!$AA29-1,"")</f>
        <v>1.7530321334132237E-2</v>
      </c>
      <c r="W27" s="9">
        <f>IFERROR(Inv_SY!W29/Inv_SY!$AA29-1,"")</f>
        <v>-1.0240831406854722E-3</v>
      </c>
      <c r="X27" s="9">
        <f>IFERROR(Inv_SY!X29/Inv_SY!$AA29-1,"")</f>
        <v>-5.8433627789772347E-3</v>
      </c>
      <c r="Y27" s="9">
        <f>IFERROR(Inv_SY!Y29/Inv_SY!$AA29-1,"")</f>
        <v>-2.2299495095973731E-2</v>
      </c>
      <c r="Z27" s="9">
        <f>IFERROR(Inv_SY!Z29/Inv_SY!$AA29-1,"")</f>
        <v>-2.1677336628229571E-2</v>
      </c>
    </row>
    <row r="28" spans="1:26" x14ac:dyDescent="0.35">
      <c r="A28" s="75" t="s">
        <v>141</v>
      </c>
      <c r="B28" s="74"/>
      <c r="C28" s="74">
        <v>2000</v>
      </c>
      <c r="D28" s="74" t="s">
        <v>142</v>
      </c>
      <c r="E28" s="74" t="s">
        <v>142</v>
      </c>
      <c r="F28" s="73">
        <f t="shared" si="0"/>
        <v>45863</v>
      </c>
      <c r="G28" s="9">
        <f>IFERROR(Inv_SY!F30/Inv_SY!$P30-1,"")</f>
        <v>-8.3793471048354551E-4</v>
      </c>
      <c r="H28" s="9">
        <f>IFERROR(Inv_SY!G30/Inv_SY!$P30-1,"")</f>
        <v>-2.3216659395122186E-3</v>
      </c>
      <c r="I28" s="9">
        <f>IFERROR(Inv_SY!H30/Inv_SY!$P30-1,"")</f>
        <v>-5.7255199355196185E-3</v>
      </c>
      <c r="J28" s="9">
        <f>IFERROR(Inv_SY!I30/Inv_SY!$P30-1,"")</f>
        <v>-2.2855342438503179E-2</v>
      </c>
      <c r="K28" s="9">
        <f>IFERROR(Inv_SY!J30/Inv_SY!$P30-1,"")</f>
        <v>-9.2488780757653544E-3</v>
      </c>
      <c r="L28" s="9">
        <f>IFERROR(Inv_SY!K30/Inv_SY!$P30-1,"")</f>
        <v>-2.5872804357162105E-3</v>
      </c>
      <c r="M28" s="9">
        <f>IFERROR(Inv_SY!L30/Inv_SY!$P30-1,"")</f>
        <v>-4.5602426339275137E-4</v>
      </c>
      <c r="N28" s="9">
        <f>IFERROR(Inv_SY!M30/Inv_SY!$P30-1,"")</f>
        <v>1.3824820964624784E-2</v>
      </c>
      <c r="O28" s="9">
        <f>IFERROR(Inv_SY!N30/Inv_SY!$P30-1,"")</f>
        <v>1.4288324487485182E-2</v>
      </c>
      <c r="P28" s="9">
        <f>IFERROR(Inv_SY!O30/Inv_SY!$P30-1,"")</f>
        <v>1.5919500346782911E-2</v>
      </c>
      <c r="Q28" s="9">
        <f>IFERROR(Inv_SY!Q30/Inv_SY!$AA30-1,"")</f>
        <v>7.4448214110096611E-3</v>
      </c>
      <c r="R28" s="9">
        <f>IFERROR(Inv_SY!R30/Inv_SY!$AA30-1,"")</f>
        <v>-2.0869940916628305E-2</v>
      </c>
      <c r="S28" s="9">
        <f>IFERROR(Inv_SY!S30/Inv_SY!$AA30-1,"")</f>
        <v>3.1382473943526668E-2</v>
      </c>
      <c r="T28" s="9">
        <f>IFERROR(Inv_SY!T30/Inv_SY!$AA30-1,"")</f>
        <v>2.3800919139653764E-3</v>
      </c>
      <c r="U28" s="9">
        <f>IFERROR(Inv_SY!U30/Inv_SY!$AA30-1,"")</f>
        <v>-1.6485812561372049E-3</v>
      </c>
      <c r="V28" s="9">
        <f>IFERROR(Inv_SY!V30/Inv_SY!$AA30-1,"")</f>
        <v>1.3807713050076886E-2</v>
      </c>
      <c r="W28" s="9">
        <f>IFERROR(Inv_SY!W30/Inv_SY!$AA30-1,"")</f>
        <v>3.8607688868064205E-3</v>
      </c>
      <c r="X28" s="9">
        <f>IFERROR(Inv_SY!X30/Inv_SY!$AA30-1,"")</f>
        <v>1.983476870186518E-4</v>
      </c>
      <c r="Y28" s="9">
        <f>IFERROR(Inv_SY!Y30/Inv_SY!$AA30-1,"")</f>
        <v>-2.0576418366522908E-2</v>
      </c>
      <c r="Z28" s="9">
        <f>IFERROR(Inv_SY!Z30/Inv_SY!$AA30-1,"")</f>
        <v>-1.5979276353116023E-2</v>
      </c>
    </row>
    <row r="29" spans="1:26" x14ac:dyDescent="0.35">
      <c r="A29" s="75" t="s">
        <v>141</v>
      </c>
      <c r="B29" s="74"/>
      <c r="C29" s="74">
        <v>2000</v>
      </c>
      <c r="D29" s="74" t="s">
        <v>142</v>
      </c>
      <c r="E29" s="74" t="s">
        <v>142</v>
      </c>
      <c r="F29" s="73">
        <f t="shared" si="0"/>
        <v>45864</v>
      </c>
      <c r="G29" s="9">
        <f>IFERROR(Inv_SY!F31/Inv_SY!$P31-1,"")</f>
        <v>7.0503188186816335E-2</v>
      </c>
      <c r="H29" s="9">
        <f>IFERROR(Inv_SY!G31/Inv_SY!$P31-1,"")</f>
        <v>6.2500652098655074E-2</v>
      </c>
      <c r="I29" s="9">
        <f>IFERROR(Inv_SY!H31/Inv_SY!$P31-1,"")</f>
        <v>5.8958545961272257E-2</v>
      </c>
      <c r="J29" s="9">
        <f>IFERROR(Inv_SY!I31/Inv_SY!$P31-1,"")</f>
        <v>4.5307701719754734E-2</v>
      </c>
      <c r="K29" s="9">
        <f>IFERROR(Inv_SY!J31/Inv_SY!$P31-1,"")</f>
        <v>-0.72874127358162122</v>
      </c>
      <c r="L29" s="9">
        <f>IFERROR(Inv_SY!K31/Inv_SY!$P31-1,"")</f>
        <v>-0.67850817609673619</v>
      </c>
      <c r="M29" s="9">
        <f>IFERROR(Inv_SY!L31/Inv_SY!$P31-1,"")</f>
        <v>0.28634350944953746</v>
      </c>
      <c r="N29" s="9">
        <f>IFERROR(Inv_SY!M31/Inv_SY!$P31-1,"")</f>
        <v>0.31294067492324218</v>
      </c>
      <c r="O29" s="9">
        <f>IFERROR(Inv_SY!N31/Inv_SY!$P31-1,"")</f>
        <v>0.28819037737408815</v>
      </c>
      <c r="P29" s="9">
        <f>IFERROR(Inv_SY!O31/Inv_SY!$P31-1,"")</f>
        <v>0.28250479996498989</v>
      </c>
      <c r="Q29" s="9">
        <f>IFERROR(Inv_SY!Q31/Inv_SY!$AA31-1,"")</f>
        <v>-4.9654945017625352E-3</v>
      </c>
      <c r="R29" s="9">
        <f>IFERROR(Inv_SY!R31/Inv_SY!$AA31-1,"")</f>
        <v>-2.9503159827966363E-2</v>
      </c>
      <c r="S29" s="9">
        <f>IFERROR(Inv_SY!S31/Inv_SY!$AA31-1,"")</f>
        <v>2.7750850602860755E-2</v>
      </c>
      <c r="T29" s="9">
        <f>IFERROR(Inv_SY!T31/Inv_SY!$AA31-1,"")</f>
        <v>-7.6653798749815039E-4</v>
      </c>
      <c r="U29" s="9">
        <f>IFERROR(Inv_SY!U31/Inv_SY!$AA31-1,"")</f>
        <v>-6.320088691846748E-3</v>
      </c>
      <c r="V29" s="9">
        <f>IFERROR(Inv_SY!V31/Inv_SY!$AA31-1,"")</f>
        <v>4.8103926984812695E-3</v>
      </c>
      <c r="W29" s="9">
        <f>IFERROR(Inv_SY!W31/Inv_SY!$AA31-1,"")</f>
        <v>-7.5761695296682197E-3</v>
      </c>
      <c r="X29" s="9">
        <f>IFERROR(Inv_SY!X31/Inv_SY!$AA31-1,"")</f>
        <v>-1.0379896968286784E-2</v>
      </c>
      <c r="Y29" s="9">
        <f>IFERROR(Inv_SY!Y31/Inv_SY!$AA31-1,"")</f>
        <v>5.3737717605384372E-3</v>
      </c>
      <c r="Z29" s="9">
        <f>IFERROR(Inv_SY!Z31/Inv_SY!$AA31-1,"")</f>
        <v>2.1576332445147228E-2</v>
      </c>
    </row>
    <row r="30" spans="1:26" x14ac:dyDescent="0.35">
      <c r="A30" s="75" t="s">
        <v>141</v>
      </c>
      <c r="B30" s="74"/>
      <c r="C30" s="74">
        <v>2000</v>
      </c>
      <c r="D30" s="74" t="s">
        <v>142</v>
      </c>
      <c r="E30" s="74" t="s">
        <v>142</v>
      </c>
      <c r="F30" s="73">
        <f t="shared" si="0"/>
        <v>45865</v>
      </c>
      <c r="G30" s="9">
        <f>IFERROR(Inv_SY!F32/Inv_SY!$P32-1,"")</f>
        <v>0.29064077366099905</v>
      </c>
      <c r="H30" s="9">
        <f>IFERROR(Inv_SY!G32/Inv_SY!$P32-1,"")</f>
        <v>-0.39493412472710898</v>
      </c>
      <c r="I30" s="9">
        <f>IFERROR(Inv_SY!H32/Inv_SY!$P32-1,"")</f>
        <v>0.29114005442450419</v>
      </c>
      <c r="J30" s="9">
        <f>IFERROR(Inv_SY!I32/Inv_SY!$P32-1,"")</f>
        <v>0.2812175960373049</v>
      </c>
      <c r="K30" s="9">
        <f>IFERROR(Inv_SY!J32/Inv_SY!$P32-1,"")</f>
        <v>-0.86751392909326042</v>
      </c>
      <c r="L30" s="9">
        <f>IFERROR(Inv_SY!K32/Inv_SY!$P32-1,"")</f>
        <v>-0.86643058940811635</v>
      </c>
      <c r="M30" s="9">
        <f>IFERROR(Inv_SY!L32/Inv_SY!$P32-1,"")</f>
        <v>0.32141951242046729</v>
      </c>
      <c r="N30" s="9">
        <f>IFERROR(Inv_SY!M32/Inv_SY!$P32-1,"")</f>
        <v>0.30112566969460874</v>
      </c>
      <c r="O30" s="9">
        <f>IFERROR(Inv_SY!N32/Inv_SY!$P32-1,"")</f>
        <v>0.32273741751929075</v>
      </c>
      <c r="P30" s="9">
        <f>IFERROR(Inv_SY!O32/Inv_SY!$P32-1,"")</f>
        <v>0.32059761947131227</v>
      </c>
      <c r="Q30" s="9">
        <f>IFERROR(Inv_SY!Q32/Inv_SY!$AA32-1,"")</f>
        <v>6.3277476861760551E-3</v>
      </c>
      <c r="R30" s="9">
        <f>IFERROR(Inv_SY!R32/Inv_SY!$AA32-1,"")</f>
        <v>-1.7489119271318021E-2</v>
      </c>
      <c r="S30" s="9">
        <f>IFERROR(Inv_SY!S32/Inv_SY!$AA32-1,"")</f>
        <v>3.9895055745387875E-2</v>
      </c>
      <c r="T30" s="9">
        <f>IFERROR(Inv_SY!T32/Inv_SY!$AA32-1,"")</f>
        <v>1.2225031749730775E-2</v>
      </c>
      <c r="U30" s="9">
        <f>IFERROR(Inv_SY!U32/Inv_SY!$AA32-1,"")</f>
        <v>3.17270890135668E-3</v>
      </c>
      <c r="V30" s="9">
        <f>IFERROR(Inv_SY!V32/Inv_SY!$AA32-1,"")</f>
        <v>1.4521669047209862E-2</v>
      </c>
      <c r="W30" s="9">
        <f>IFERROR(Inv_SY!W32/Inv_SY!$AA32-1,"")</f>
        <v>-2.9771731887996422E-3</v>
      </c>
      <c r="X30" s="9">
        <f>IFERROR(Inv_SY!X32/Inv_SY!$AA32-1,"")</f>
        <v>-6.2820771154369348E-3</v>
      </c>
      <c r="Y30" s="9">
        <f>IFERROR(Inv_SY!Y32/Inv_SY!$AA32-1,"")</f>
        <v>-6.7690462503616877E-2</v>
      </c>
      <c r="Z30" s="9">
        <f>IFERROR(Inv_SY!Z32/Inv_SY!$AA32-1,"")</f>
        <v>1.8296618949309229E-2</v>
      </c>
    </row>
    <row r="31" spans="1:26" x14ac:dyDescent="0.35">
      <c r="A31" s="75" t="s">
        <v>141</v>
      </c>
      <c r="B31" s="74"/>
      <c r="C31" s="74">
        <v>2000</v>
      </c>
      <c r="D31" s="74" t="s">
        <v>142</v>
      </c>
      <c r="E31" s="74" t="s">
        <v>142</v>
      </c>
      <c r="F31" s="73">
        <f t="shared" si="0"/>
        <v>45866</v>
      </c>
      <c r="G31" s="9">
        <f>IFERROR(Inv_SY!F33/Inv_SY!$P33-1,"")</f>
        <v>-1.2252569220572163E-4</v>
      </c>
      <c r="H31" s="9">
        <f>IFERROR(Inv_SY!G33/Inv_SY!$P33-1,"")</f>
        <v>-2.0174234133637503E-2</v>
      </c>
      <c r="I31" s="9">
        <f>IFERROR(Inv_SY!H33/Inv_SY!$P33-1,"")</f>
        <v>-3.4752229235704979E-3</v>
      </c>
      <c r="J31" s="9">
        <f>IFERROR(Inv_SY!I33/Inv_SY!$P33-1,"")</f>
        <v>-5.714762954515118E-3</v>
      </c>
      <c r="K31" s="9">
        <f>IFERROR(Inv_SY!J33/Inv_SY!$P33-1,"")</f>
        <v>7.9826448385444948E-5</v>
      </c>
      <c r="L31" s="9">
        <f>IFERROR(Inv_SY!K33/Inv_SY!$P33-1,"")</f>
        <v>6.8056395799853675E-4</v>
      </c>
      <c r="M31" s="9">
        <f>IFERROR(Inv_SY!L33/Inv_SY!$P33-1,"")</f>
        <v>1.7273595817805854E-2</v>
      </c>
      <c r="N31" s="9">
        <f>IFERROR(Inv_SY!M33/Inv_SY!$P33-1,"")</f>
        <v>1.4061962594337674E-2</v>
      </c>
      <c r="O31" s="9">
        <f>IFERROR(Inv_SY!N33/Inv_SY!$P33-1,"")</f>
        <v>-1.7444865070020188E-2</v>
      </c>
      <c r="P31" s="9">
        <f>IFERROR(Inv_SY!O33/Inv_SY!$P33-1,"")</f>
        <v>1.4835661955421742E-2</v>
      </c>
      <c r="Q31" s="9">
        <f>IFERROR(Inv_SY!Q33/Inv_SY!$AA33-1,"")</f>
        <v>8.9761148764126997E-3</v>
      </c>
      <c r="R31" s="9">
        <f>IFERROR(Inv_SY!R33/Inv_SY!$AA33-1,"")</f>
        <v>-2.0741657786463641E-2</v>
      </c>
      <c r="S31" s="9">
        <f>IFERROR(Inv_SY!S33/Inv_SY!$AA33-1,"")</f>
        <v>3.4009926099105803E-2</v>
      </c>
      <c r="T31" s="9">
        <f>IFERROR(Inv_SY!T33/Inv_SY!$AA33-1,"")</f>
        <v>2.7263380151631988E-3</v>
      </c>
      <c r="U31" s="9">
        <f>IFERROR(Inv_SY!U33/Inv_SY!$AA33-1,"")</f>
        <v>-3.6049169733702868E-3</v>
      </c>
      <c r="V31" s="9">
        <f>IFERROR(Inv_SY!V33/Inv_SY!$AA33-1,"")</f>
        <v>1.7765935077788342E-2</v>
      </c>
      <c r="W31" s="9">
        <f>IFERROR(Inv_SY!W33/Inv_SY!$AA33-1,"")</f>
        <v>2.0684832123070152E-3</v>
      </c>
      <c r="X31" s="9">
        <f>IFERROR(Inv_SY!X33/Inv_SY!$AA33-1,"")</f>
        <v>3.7756560988044807E-3</v>
      </c>
      <c r="Y31" s="9">
        <f>IFERROR(Inv_SY!Y33/Inv_SY!$AA33-1,"")</f>
        <v>-1.9510759924514565E-2</v>
      </c>
      <c r="Z31" s="9">
        <f>IFERROR(Inv_SY!Z33/Inv_SY!$AA33-1,"")</f>
        <v>-2.5465118695234157E-2</v>
      </c>
    </row>
    <row r="32" spans="1:26" x14ac:dyDescent="0.35">
      <c r="A32" s="75" t="s">
        <v>141</v>
      </c>
      <c r="B32" s="74"/>
      <c r="C32" s="74">
        <v>2000</v>
      </c>
      <c r="D32" s="74" t="s">
        <v>142</v>
      </c>
      <c r="E32" s="74" t="s">
        <v>142</v>
      </c>
      <c r="F32" s="73">
        <f t="shared" si="0"/>
        <v>45867</v>
      </c>
      <c r="G32" s="9">
        <f>IFERROR(Inv_SY!F34/Inv_SY!$P34-1,"")</f>
        <v>-1.5905696386447565E-2</v>
      </c>
      <c r="H32" s="9">
        <f>IFERROR(Inv_SY!G34/Inv_SY!$P34-1,"")</f>
        <v>-2.5822407552843041E-2</v>
      </c>
      <c r="I32" s="9">
        <f>IFERROR(Inv_SY!H34/Inv_SY!$P34-1,"")</f>
        <v>5.0419631560512101E-3</v>
      </c>
      <c r="J32" s="9">
        <f>IFERROR(Inv_SY!I34/Inv_SY!$P34-1,"")</f>
        <v>1.7209648674259004E-3</v>
      </c>
      <c r="K32" s="9">
        <f>IFERROR(Inv_SY!J34/Inv_SY!$P34-1,"")</f>
        <v>-1.0752696388871552E-4</v>
      </c>
      <c r="L32" s="9">
        <f>IFERROR(Inv_SY!K34/Inv_SY!$P34-1,"")</f>
        <v>8.4823213281095544E-3</v>
      </c>
      <c r="M32" s="9">
        <f>IFERROR(Inv_SY!L34/Inv_SY!$P34-1,"")</f>
        <v>1.0186493005597486E-2</v>
      </c>
      <c r="N32" s="9">
        <f>IFERROR(Inv_SY!M34/Inv_SY!$P34-1,"")</f>
        <v>1.4401555717593162E-2</v>
      </c>
      <c r="O32" s="9">
        <f>IFERROR(Inv_SY!N34/Inv_SY!$P34-1,"")</f>
        <v>-3.931020095412463E-3</v>
      </c>
      <c r="P32" s="9">
        <f>IFERROR(Inv_SY!O34/Inv_SY!$P34-1,"")</f>
        <v>5.9333529238170257E-3</v>
      </c>
      <c r="Q32" s="9">
        <f>IFERROR(Inv_SY!Q34/Inv_SY!$AA34-1,"")</f>
        <v>4.2313394753041855E-3</v>
      </c>
      <c r="R32" s="9">
        <f>IFERROR(Inv_SY!R34/Inv_SY!$AA34-1,"")</f>
        <v>-2.1876251396321211E-2</v>
      </c>
      <c r="S32" s="9">
        <f>IFERROR(Inv_SY!S34/Inv_SY!$AA34-1,"")</f>
        <v>3.3325592562645001E-2</v>
      </c>
      <c r="T32" s="9">
        <f>IFERROR(Inv_SY!T34/Inv_SY!$AA34-1,"")</f>
        <v>3.9629704993011661E-3</v>
      </c>
      <c r="U32" s="9">
        <f>IFERROR(Inv_SY!U34/Inv_SY!$AA34-1,"")</f>
        <v>-2.5961032746752988E-3</v>
      </c>
      <c r="V32" s="9">
        <f>IFERROR(Inv_SY!V34/Inv_SY!$AA34-1,"")</f>
        <v>1.2006524324838619E-2</v>
      </c>
      <c r="W32" s="9">
        <f>IFERROR(Inv_SY!W34/Inv_SY!$AA34-1,"")</f>
        <v>-4.7349142861581317E-3</v>
      </c>
      <c r="X32" s="9">
        <f>IFERROR(Inv_SY!X34/Inv_SY!$AA34-1,"")</f>
        <v>-5.932779866813287E-3</v>
      </c>
      <c r="Y32" s="9">
        <f>IFERROR(Inv_SY!Y34/Inv_SY!$AA34-1,"")</f>
        <v>-1.1958705834708261E-2</v>
      </c>
      <c r="Z32" s="9">
        <f>IFERROR(Inv_SY!Z34/Inv_SY!$AA34-1,"")</f>
        <v>-6.4276722034124489E-3</v>
      </c>
    </row>
    <row r="33" spans="1:26" x14ac:dyDescent="0.35">
      <c r="A33" s="75" t="s">
        <v>141</v>
      </c>
      <c r="B33" s="74"/>
      <c r="C33" s="74">
        <v>2000</v>
      </c>
      <c r="D33" s="74" t="s">
        <v>142</v>
      </c>
      <c r="E33" s="74" t="s">
        <v>142</v>
      </c>
      <c r="F33" s="73">
        <f t="shared" si="0"/>
        <v>45868</v>
      </c>
      <c r="G33" s="9">
        <f>IFERROR(Inv_SY!F35/Inv_SY!$P35-1,"")</f>
        <v>-9.7675026046195601E-4</v>
      </c>
      <c r="H33" s="9">
        <f>IFERROR(Inv_SY!G35/Inv_SY!$P35-1,"")</f>
        <v>-2.1798520186966486E-2</v>
      </c>
      <c r="I33" s="9">
        <f>IFERROR(Inv_SY!H35/Inv_SY!$P35-1,"")</f>
        <v>-1.3984569931507762E-3</v>
      </c>
      <c r="J33" s="9">
        <f>IFERROR(Inv_SY!I35/Inv_SY!$P35-1,"")</f>
        <v>-2.7363846783988732E-3</v>
      </c>
      <c r="K33" s="9">
        <f>IFERROR(Inv_SY!J35/Inv_SY!$P35-1,"")</f>
        <v>1.0746696908283893E-2</v>
      </c>
      <c r="L33" s="9">
        <f>IFERROR(Inv_SY!K35/Inv_SY!$P35-1,"")</f>
        <v>-7.0423588378186741E-3</v>
      </c>
      <c r="M33" s="9">
        <f>IFERROR(Inv_SY!L35/Inv_SY!$P35-1,"")</f>
        <v>1.332856359509571E-2</v>
      </c>
      <c r="N33" s="9">
        <f>IFERROR(Inv_SY!M35/Inv_SY!$P35-1,"")</f>
        <v>2.3060533502794023E-2</v>
      </c>
      <c r="O33" s="9">
        <f>IFERROR(Inv_SY!N35/Inv_SY!$P35-1,"")</f>
        <v>-9.6763323927828715E-3</v>
      </c>
      <c r="P33" s="9">
        <f>IFERROR(Inv_SY!O35/Inv_SY!$P35-1,"")</f>
        <v>-3.5069906565942111E-3</v>
      </c>
      <c r="Q33" s="9">
        <f>IFERROR(Inv_SY!Q35/Inv_SY!$AA35-1,"")</f>
        <v>8.3072994730690741E-3</v>
      </c>
      <c r="R33" s="9">
        <f>IFERROR(Inv_SY!R35/Inv_SY!$AA35-1,"")</f>
        <v>-1.7306062303311887E-2</v>
      </c>
      <c r="S33" s="9">
        <f>IFERROR(Inv_SY!S35/Inv_SY!$AA35-1,"")</f>
        <v>3.6322445145397619E-2</v>
      </c>
      <c r="T33" s="9">
        <f>IFERROR(Inv_SY!T35/Inv_SY!$AA35-1,"")</f>
        <v>7.117276562125241E-3</v>
      </c>
      <c r="U33" s="9">
        <f>IFERROR(Inv_SY!U35/Inv_SY!$AA35-1,"")</f>
        <v>-5.4449103571974078E-4</v>
      </c>
      <c r="V33" s="9">
        <f>IFERROR(Inv_SY!V35/Inv_SY!$AA35-1,"")</f>
        <v>1.3885582207595171E-2</v>
      </c>
      <c r="W33" s="9">
        <f>IFERROR(Inv_SY!W35/Inv_SY!$AA35-1,"")</f>
        <v>-2.7763023071889492E-3</v>
      </c>
      <c r="X33" s="9">
        <f>IFERROR(Inv_SY!X35/Inv_SY!$AA35-1,"")</f>
        <v>-4.6823817783934185E-3</v>
      </c>
      <c r="Y33" s="9">
        <f>IFERROR(Inv_SY!Y35/Inv_SY!$AA35-1,"")</f>
        <v>-2.4167456426803624E-2</v>
      </c>
      <c r="Z33" s="9">
        <f>IFERROR(Inv_SY!Z35/Inv_SY!$AA35-1,"")</f>
        <v>-1.6155909536769153E-2</v>
      </c>
    </row>
    <row r="34" spans="1:26" x14ac:dyDescent="0.35">
      <c r="A34" s="75" t="s">
        <v>141</v>
      </c>
      <c r="B34" s="74"/>
      <c r="C34" s="74">
        <v>2000</v>
      </c>
      <c r="D34" s="74" t="s">
        <v>142</v>
      </c>
      <c r="E34" s="74" t="s">
        <v>142</v>
      </c>
      <c r="F34" s="73">
        <f t="shared" si="0"/>
        <v>45869</v>
      </c>
      <c r="G34" s="9">
        <f>IFERROR(Inv_SY!F36/Inv_SY!$P36-1,"")</f>
        <v>1.3217001558701647E-2</v>
      </c>
      <c r="H34" s="9">
        <f>IFERROR(Inv_SY!G36/Inv_SY!$P36-1,"")</f>
        <v>1.6816230853782921E-2</v>
      </c>
      <c r="I34" s="9">
        <f>IFERROR(Inv_SY!H36/Inv_SY!$P36-1,"")</f>
        <v>7.2156400596701253E-4</v>
      </c>
      <c r="J34" s="9">
        <f>IFERROR(Inv_SY!I36/Inv_SY!$P36-1,"")</f>
        <v>3.2754438476629844E-3</v>
      </c>
      <c r="K34" s="9">
        <f>IFERROR(Inv_SY!J36/Inv_SY!$P36-1,"")</f>
        <v>1.6384741245983658E-2</v>
      </c>
      <c r="L34" s="9">
        <f>IFERROR(Inv_SY!K36/Inv_SY!$P36-1,"")</f>
        <v>-1.5347757519177385E-2</v>
      </c>
      <c r="M34" s="9">
        <f>IFERROR(Inv_SY!L36/Inv_SY!$P36-1,"")</f>
        <v>-3.8163791445443573E-3</v>
      </c>
      <c r="N34" s="9">
        <f>IFERROR(Inv_SY!M36/Inv_SY!$P36-1,"")</f>
        <v>-4.1679550364075446E-3</v>
      </c>
      <c r="O34" s="9">
        <f>IFERROR(Inv_SY!N36/Inv_SY!$P36-1,"")</f>
        <v>-2.5088054349951094E-2</v>
      </c>
      <c r="P34" s="9">
        <f>IFERROR(Inv_SY!O36/Inv_SY!$P36-1,"")</f>
        <v>-1.9948354620188402E-3</v>
      </c>
      <c r="Q34" s="9">
        <f>IFERROR(Inv_SY!Q36/Inv_SY!$AA36-1,"")</f>
        <v>4.0261721205461232E-3</v>
      </c>
      <c r="R34" s="9">
        <f>IFERROR(Inv_SY!R36/Inv_SY!$AA36-1,"")</f>
        <v>-2.1135952940543046E-2</v>
      </c>
      <c r="S34" s="9">
        <f>IFERROR(Inv_SY!S36/Inv_SY!$AA36-1,"")</f>
        <v>3.5689705304270181E-2</v>
      </c>
      <c r="T34" s="9">
        <f>IFERROR(Inv_SY!T36/Inv_SY!$AA36-1,"")</f>
        <v>6.46172587597027E-3</v>
      </c>
      <c r="U34" s="9">
        <f>IFERROR(Inv_SY!U36/Inv_SY!$AA36-1,"")</f>
        <v>-6.2812604643280867E-4</v>
      </c>
      <c r="V34" s="9">
        <f>IFERROR(Inv_SY!V36/Inv_SY!$AA36-1,"")</f>
        <v>1.2621288961514043E-2</v>
      </c>
      <c r="W34" s="9">
        <f>IFERROR(Inv_SY!W36/Inv_SY!$AA36-1,"")</f>
        <v>-7.8427350186884848E-3</v>
      </c>
      <c r="X34" s="9">
        <f>IFERROR(Inv_SY!X36/Inv_SY!$AA36-1,"")</f>
        <v>-1.027269489429572E-2</v>
      </c>
      <c r="Y34" s="9">
        <f>IFERROR(Inv_SY!Y36/Inv_SY!$AA36-1,"")</f>
        <v>-1.3248815425345728E-2</v>
      </c>
      <c r="Z34" s="9">
        <f>IFERROR(Inv_SY!Z36/Inv_SY!$AA36-1,"")</f>
        <v>-5.6705679369956075E-3</v>
      </c>
    </row>
    <row r="35" spans="1:26" x14ac:dyDescent="0.35">
      <c r="A35" s="321"/>
      <c r="B35" s="322"/>
      <c r="C35" s="322"/>
      <c r="D35" s="322"/>
      <c r="E35" s="322"/>
      <c r="F35" s="73">
        <f t="shared" si="0"/>
        <v>45870</v>
      </c>
      <c r="G35" s="323">
        <f>IFERROR(Inv_SY!F37/Inv_SY!$P37-1,"")</f>
        <v>1.0149696235110861E-2</v>
      </c>
      <c r="H35" s="323">
        <f>IFERROR(Inv_SY!G37/Inv_SY!$P37-1,"")</f>
        <v>-5.0235624888483876E-4</v>
      </c>
      <c r="I35" s="323">
        <f>IFERROR(Inv_SY!H37/Inv_SY!$P37-1,"")</f>
        <v>7.0378606779883945E-3</v>
      </c>
      <c r="J35" s="323">
        <f>IFERROR(Inv_SY!I37/Inv_SY!$P37-1,"")</f>
        <v>1.9644375034251871E-2</v>
      </c>
      <c r="K35" s="323">
        <f>IFERROR(Inv_SY!J37/Inv_SY!$P37-1,"")</f>
        <v>1.0105504487554207E-2</v>
      </c>
      <c r="L35" s="323">
        <f>IFERROR(Inv_SY!K37/Inv_SY!$P37-1,"")</f>
        <v>9.448629622636151E-3</v>
      </c>
      <c r="M35" s="323">
        <f>IFERROR(Inv_SY!L37/Inv_SY!$P37-1,"")</f>
        <v>-8.4199268215623402E-3</v>
      </c>
      <c r="N35" s="323">
        <f>IFERROR(Inv_SY!M37/Inv_SY!$P37-1,"")</f>
        <v>-1.1633152664745849E-2</v>
      </c>
      <c r="O35" s="323">
        <f>IFERROR(Inv_SY!N37/Inv_SY!$P37-1,"")</f>
        <v>-2.0846270134546097E-2</v>
      </c>
      <c r="P35" s="323">
        <f>IFERROR(Inv_SY!O37/Inv_SY!$P37-1,"")</f>
        <v>-1.4984360187800694E-2</v>
      </c>
      <c r="Q35" s="319">
        <f>IFERROR(Inv_SY!Q37/Inv_SY!$AA37-1,"")</f>
        <v>8.3401275213872417E-3</v>
      </c>
      <c r="R35" s="319">
        <f>IFERROR(Inv_SY!R37/Inv_SY!$AA37-1,"")</f>
        <v>-1.6521883059590681E-2</v>
      </c>
      <c r="S35" s="319">
        <f>IFERROR(Inv_SY!S37/Inv_SY!$AA37-1,"")</f>
        <v>3.4257064574689133E-2</v>
      </c>
      <c r="T35" s="319">
        <f>IFERROR(Inv_SY!T37/Inv_SY!$AA37-1,"")</f>
        <v>5.5758349938317409E-4</v>
      </c>
      <c r="U35" s="319">
        <f>IFERROR(Inv_SY!U37/Inv_SY!$AA37-1,"")</f>
        <v>-2.6362934067385435E-3</v>
      </c>
      <c r="V35" s="319">
        <f>IFERROR(Inv_SY!V37/Inv_SY!$AA37-1,"")</f>
        <v>2.0182492548832087E-2</v>
      </c>
      <c r="W35" s="319">
        <f>IFERROR(Inv_SY!W37/Inv_SY!$AA37-1,"")</f>
        <v>2.5695465807449303E-3</v>
      </c>
      <c r="X35" s="319">
        <f>IFERROR(Inv_SY!X37/Inv_SY!$AA37-1,"")</f>
        <v>1.2497218263054499E-3</v>
      </c>
      <c r="Y35" s="319">
        <f>IFERROR(Inv_SY!Y37/Inv_SY!$AA37-1,"")</f>
        <v>-3.1605258818411253E-2</v>
      </c>
      <c r="Z35" s="319">
        <f>IFERROR(Inv_SY!Z37/Inv_SY!$AA37-1,"")</f>
        <v>-1.6393101266600874E-2</v>
      </c>
    </row>
    <row r="36" spans="1:26" x14ac:dyDescent="0.35">
      <c r="A36" s="321"/>
      <c r="B36" s="322"/>
      <c r="C36" s="322"/>
      <c r="D36" s="322"/>
      <c r="E36" s="322"/>
      <c r="F36" s="73">
        <f t="shared" si="0"/>
        <v>45871</v>
      </c>
      <c r="G36" s="323">
        <f>IFERROR(Inv_SY!F38/Inv_SY!$P38-1,"")</f>
        <v>2.4748322177581272E-3</v>
      </c>
      <c r="H36" s="323">
        <f>IFERROR(Inv_SY!G38/Inv_SY!$P38-1,"")</f>
        <v>3.7799081912161636E-2</v>
      </c>
      <c r="I36" s="323">
        <f>IFERROR(Inv_SY!H38/Inv_SY!$P38-1,"")</f>
        <v>1.3890418269041138E-2</v>
      </c>
      <c r="J36" s="323">
        <f>IFERROR(Inv_SY!I38/Inv_SY!$P38-1,"")</f>
        <v>1.358456897242899E-2</v>
      </c>
      <c r="K36" s="323">
        <f>IFERROR(Inv_SY!J38/Inv_SY!$P38-1,"")</f>
        <v>7.1808493246134919E-3</v>
      </c>
      <c r="L36" s="323">
        <f>IFERROR(Inv_SY!K38/Inv_SY!$P38-1,"")</f>
        <v>2.4323277609030747E-2</v>
      </c>
      <c r="M36" s="323">
        <f>IFERROR(Inv_SY!L38/Inv_SY!$P38-1,"")</f>
        <v>-2.7555415137817008E-2</v>
      </c>
      <c r="N36" s="323">
        <f>IFERROR(Inv_SY!M38/Inv_SY!$P38-1,"")</f>
        <v>-2.1521195604326193E-2</v>
      </c>
      <c r="O36" s="323">
        <f>IFERROR(Inv_SY!N38/Inv_SY!$P38-1,"")</f>
        <v>-2.6325510519525919E-2</v>
      </c>
      <c r="P36" s="323">
        <f>IFERROR(Inv_SY!O38/Inv_SY!$P38-1,"")</f>
        <v>-2.3850907043363456E-2</v>
      </c>
      <c r="Q36" s="319">
        <f>IFERROR(Inv_SY!Q38/Inv_SY!$AA38-1,"")</f>
        <v>-5.7505169728024885E-3</v>
      </c>
      <c r="R36" s="319">
        <f>IFERROR(Inv_SY!R38/Inv_SY!$AA38-1,"")</f>
        <v>-2.5919521609136909E-2</v>
      </c>
      <c r="S36" s="319">
        <f>IFERROR(Inv_SY!S38/Inv_SY!$AA38-1,"")</f>
        <v>3.6737667177477284E-2</v>
      </c>
      <c r="T36" s="319">
        <f>IFERROR(Inv_SY!T38/Inv_SY!$AA38-1,"")</f>
        <v>6.8283978788703514E-3</v>
      </c>
      <c r="U36" s="319">
        <f>IFERROR(Inv_SY!U38/Inv_SY!$AA38-1,"")</f>
        <v>1.3725608585470894E-3</v>
      </c>
      <c r="V36" s="319">
        <f>IFERROR(Inv_SY!V38/Inv_SY!$AA38-1,"")</f>
        <v>1.2713845374326738E-2</v>
      </c>
      <c r="W36" s="319">
        <f>IFERROR(Inv_SY!W38/Inv_SY!$AA38-1,"")</f>
        <v>-1.1256637630240873E-2</v>
      </c>
      <c r="X36" s="319">
        <f>IFERROR(Inv_SY!X38/Inv_SY!$AA38-1,"")</f>
        <v>-1.4210412023357599E-2</v>
      </c>
      <c r="Y36" s="319">
        <f>IFERROR(Inv_SY!Y38/Inv_SY!$AA38-1,"")</f>
        <v>-6.014526516004981E-4</v>
      </c>
      <c r="Z36" s="319">
        <f>IFERROR(Inv_SY!Z38/Inv_SY!$AA38-1,"")</f>
        <v>8.6069597917015628E-5</v>
      </c>
    </row>
    <row r="37" spans="1:26" x14ac:dyDescent="0.35">
      <c r="A37" s="321"/>
      <c r="B37" s="322"/>
      <c r="C37" s="322"/>
      <c r="D37" s="322"/>
      <c r="E37" s="322"/>
      <c r="F37" s="73">
        <f t="shared" si="0"/>
        <v>45872</v>
      </c>
      <c r="G37" s="323">
        <f>IFERROR(Inv_SY!F39/Inv_SY!$P39-1,"")</f>
        <v>7.224417223324453E-3</v>
      </c>
      <c r="H37" s="323">
        <f>IFERROR(Inv_SY!G39/Inv_SY!$P39-1,"")</f>
        <v>1.2884363862986525E-2</v>
      </c>
      <c r="I37" s="323">
        <f>IFERROR(Inv_SY!H39/Inv_SY!$P39-1,"")</f>
        <v>-3.1111375099712735E-3</v>
      </c>
      <c r="J37" s="323">
        <f>IFERROR(Inv_SY!I39/Inv_SY!$P39-1,"")</f>
        <v>-1.2928862862856549E-2</v>
      </c>
      <c r="K37" s="323">
        <f>IFERROR(Inv_SY!J39/Inv_SY!$P39-1,"")</f>
        <v>2.4438984026363242E-2</v>
      </c>
      <c r="L37" s="323">
        <f>IFERROR(Inv_SY!K39/Inv_SY!$P39-1,"")</f>
        <v>3.0218257176377161E-2</v>
      </c>
      <c r="M37" s="323">
        <f>IFERROR(Inv_SY!L39/Inv_SY!$P39-1,"")</f>
        <v>-1.330806322217748E-2</v>
      </c>
      <c r="N37" s="323">
        <f>IFERROR(Inv_SY!M39/Inv_SY!$P39-1,"")</f>
        <v>-1.5415369335323392E-2</v>
      </c>
      <c r="O37" s="323">
        <f>IFERROR(Inv_SY!N39/Inv_SY!$P39-1,"")</f>
        <v>-1.6555897115455354E-2</v>
      </c>
      <c r="P37" s="323">
        <f>IFERROR(Inv_SY!O39/Inv_SY!$P39-1,"")</f>
        <v>-1.3446692243267E-2</v>
      </c>
      <c r="Q37" s="319">
        <f>IFERROR(Inv_SY!Q39/Inv_SY!$AA39-1,"")</f>
        <v>8.0602017481803401E-3</v>
      </c>
      <c r="R37" s="319">
        <f>IFERROR(Inv_SY!R39/Inv_SY!$AA39-1,"")</f>
        <v>-1.1281467488249652E-2</v>
      </c>
      <c r="S37" s="319">
        <f>IFERROR(Inv_SY!S39/Inv_SY!$AA39-1,"")</f>
        <v>4.0503096891271184E-2</v>
      </c>
      <c r="T37" s="319">
        <f>IFERROR(Inv_SY!T39/Inv_SY!$AA39-1,"")</f>
        <v>1.1576149905455857E-2</v>
      </c>
      <c r="U37" s="319">
        <f>IFERROR(Inv_SY!U39/Inv_SY!$AA39-1,"")</f>
        <v>5.1288472102535287E-3</v>
      </c>
      <c r="V37" s="319">
        <f>IFERROR(Inv_SY!V39/Inv_SY!$AA39-1,"")</f>
        <v>2.1360481117696173E-2</v>
      </c>
      <c r="W37" s="319">
        <f>IFERROR(Inv_SY!W39/Inv_SY!$AA39-1,"")</f>
        <v>-4.6258618847757615E-3</v>
      </c>
      <c r="X37" s="319">
        <f>IFERROR(Inv_SY!X39/Inv_SY!$AA39-1,"")</f>
        <v>-1.4338221344509794E-2</v>
      </c>
      <c r="Y37" s="319">
        <f>IFERROR(Inv_SY!Y39/Inv_SY!$AA39-1,"")</f>
        <v>-3.0314655806018775E-2</v>
      </c>
      <c r="Z37" s="319">
        <f>IFERROR(Inv_SY!Z39/Inv_SY!$AA39-1,"")</f>
        <v>-2.6068570349303544E-2</v>
      </c>
    </row>
    <row r="38" spans="1:26" x14ac:dyDescent="0.35">
      <c r="A38" s="321"/>
      <c r="B38" s="322"/>
      <c r="C38" s="322"/>
      <c r="D38" s="322"/>
      <c r="E38" s="322"/>
      <c r="F38" s="73">
        <f t="shared" si="0"/>
        <v>45873</v>
      </c>
      <c r="G38" s="323">
        <f>IFERROR(Inv_SY!F40/Inv_SY!$P40-1,"")</f>
        <v>-7.7134216601552064E-3</v>
      </c>
      <c r="H38" s="323">
        <f>IFERROR(Inv_SY!G40/Inv_SY!$P40-1,"")</f>
        <v>4.5558698166108247E-3</v>
      </c>
      <c r="I38" s="323">
        <f>IFERROR(Inv_SY!H40/Inv_SY!$P40-1,"")</f>
        <v>-7.7134216601552064E-3</v>
      </c>
      <c r="J38" s="323">
        <f>IFERROR(Inv_SY!I40/Inv_SY!$P40-1,"")</f>
        <v>-8.6617001050320885E-3</v>
      </c>
      <c r="K38" s="323">
        <f>IFERROR(Inv_SY!J40/Inv_SY!$P40-1,"")</f>
        <v>9.7162032773709939E-3</v>
      </c>
      <c r="L38" s="323">
        <f>IFERROR(Inv_SY!K40/Inv_SY!$P40-1,"")</f>
        <v>2.3677711273304869E-2</v>
      </c>
      <c r="M38" s="323">
        <f>IFERROR(Inv_SY!L40/Inv_SY!$P40-1,"")</f>
        <v>5.419538582573713E-3</v>
      </c>
      <c r="N38" s="323">
        <f>IFERROR(Inv_SY!M40/Inv_SY!$P40-1,"")</f>
        <v>4.7389935699952979E-3</v>
      </c>
      <c r="O38" s="323">
        <f>IFERROR(Inv_SY!N40/Inv_SY!$P40-1,"")</f>
        <v>-2.6805446628406338E-2</v>
      </c>
      <c r="P38" s="323">
        <f>IFERROR(Inv_SY!O40/Inv_SY!$P40-1,"")</f>
        <v>2.7856735338933625E-3</v>
      </c>
      <c r="Q38" s="319">
        <f>IFERROR(Inv_SY!Q40/Inv_SY!$AA40-1,"")</f>
        <v>1.1109959159111282E-2</v>
      </c>
      <c r="R38" s="319">
        <f>IFERROR(Inv_SY!R40/Inv_SY!$AA40-1,"")</f>
        <v>-1.620423819767336E-2</v>
      </c>
      <c r="S38" s="319">
        <f>IFERROR(Inv_SY!S40/Inv_SY!$AA40-1,"")</f>
        <v>3.432025721988774E-2</v>
      </c>
      <c r="T38" s="319">
        <f>IFERROR(Inv_SY!T40/Inv_SY!$AA40-1,"")</f>
        <v>6.9058071371321805E-3</v>
      </c>
      <c r="U38" s="319">
        <f>IFERROR(Inv_SY!U40/Inv_SY!$AA40-1,"")</f>
        <v>-3.08467928085987E-3</v>
      </c>
      <c r="V38" s="319">
        <f>IFERROR(Inv_SY!V40/Inv_SY!$AA40-1,"")</f>
        <v>1.7890604183573355E-2</v>
      </c>
      <c r="W38" s="319">
        <f>IFERROR(Inv_SY!W40/Inv_SY!$AA40-1,"")</f>
        <v>6.9516738535679856E-4</v>
      </c>
      <c r="X38" s="319">
        <f>IFERROR(Inv_SY!X40/Inv_SY!$AA40-1,"")</f>
        <v>2.8113509533536085E-3</v>
      </c>
      <c r="Y38" s="319">
        <f>IFERROR(Inv_SY!Y40/Inv_SY!$AA40-1,"")</f>
        <v>-3.2869804664907964E-2</v>
      </c>
      <c r="Z38" s="319">
        <f>IFERROR(Inv_SY!Z40/Inv_SY!$AA40-1,"")</f>
        <v>-2.1574423894973771E-2</v>
      </c>
    </row>
    <row r="39" spans="1:26" x14ac:dyDescent="0.35">
      <c r="A39" s="321"/>
      <c r="B39" s="322"/>
      <c r="C39" s="322"/>
      <c r="D39" s="322"/>
      <c r="E39" s="322"/>
      <c r="F39" s="73">
        <f t="shared" si="0"/>
        <v>45874</v>
      </c>
      <c r="G39" s="323" t="str">
        <f>IFERROR(Inv_SY!F41/Inv_SY!$P41-1,"")</f>
        <v/>
      </c>
      <c r="H39" s="323" t="str">
        <f>IFERROR(Inv_SY!G41/Inv_SY!$P41-1,"")</f>
        <v/>
      </c>
      <c r="I39" s="323" t="str">
        <f>IFERROR(Inv_SY!H41/Inv_SY!$P41-1,"")</f>
        <v/>
      </c>
      <c r="J39" s="323" t="str">
        <f>IFERROR(Inv_SY!I41/Inv_SY!$P41-1,"")</f>
        <v/>
      </c>
      <c r="K39" s="323" t="str">
        <f>IFERROR(Inv_SY!J41/Inv_SY!$P41-1,"")</f>
        <v/>
      </c>
      <c r="L39" s="323" t="str">
        <f>IFERROR(Inv_SY!K41/Inv_SY!$P41-1,"")</f>
        <v/>
      </c>
      <c r="M39" s="323" t="str">
        <f>IFERROR(Inv_SY!L41/Inv_SY!$P41-1,"")</f>
        <v/>
      </c>
      <c r="N39" s="323" t="str">
        <f>IFERROR(Inv_SY!M41/Inv_SY!$P41-1,"")</f>
        <v/>
      </c>
      <c r="O39" s="323" t="str">
        <f>IFERROR(Inv_SY!N41/Inv_SY!$P41-1,"")</f>
        <v/>
      </c>
      <c r="P39" s="323" t="str">
        <f>IFERROR(Inv_SY!O41/Inv_SY!$P41-1,"")</f>
        <v/>
      </c>
      <c r="Q39" s="319" t="str">
        <f>IFERROR(Inv_SY!Q41/Inv_SY!$AA41-1,"")</f>
        <v/>
      </c>
      <c r="R39" s="319" t="str">
        <f>IFERROR(Inv_SY!R41/Inv_SY!$AA41-1,"")</f>
        <v/>
      </c>
      <c r="S39" s="319" t="str">
        <f>IFERROR(Inv_SY!S41/Inv_SY!$AA41-1,"")</f>
        <v/>
      </c>
      <c r="T39" s="319" t="str">
        <f>IFERROR(Inv_SY!T41/Inv_SY!$AA41-1,"")</f>
        <v/>
      </c>
      <c r="U39" s="319" t="str">
        <f>IFERROR(Inv_SY!U41/Inv_SY!$AA41-1,"")</f>
        <v/>
      </c>
      <c r="V39" s="319" t="str">
        <f>IFERROR(Inv_SY!V41/Inv_SY!$AA41-1,"")</f>
        <v/>
      </c>
      <c r="W39" s="319" t="str">
        <f>IFERROR(Inv_SY!W41/Inv_SY!$AA41-1,"")</f>
        <v/>
      </c>
      <c r="X39" s="319" t="str">
        <f>IFERROR(Inv_SY!X41/Inv_SY!$AA41-1,"")</f>
        <v/>
      </c>
      <c r="Y39" s="319" t="str">
        <f>IFERROR(Inv_SY!Y41/Inv_SY!$AA41-1,"")</f>
        <v/>
      </c>
      <c r="Z39" s="319" t="str">
        <f>IFERROR(Inv_SY!Z41/Inv_SY!$AA41-1,"")</f>
        <v/>
      </c>
    </row>
    <row r="40" spans="1:26" x14ac:dyDescent="0.35">
      <c r="A40" s="321"/>
      <c r="B40" s="322"/>
      <c r="C40" s="322"/>
      <c r="D40" s="322"/>
      <c r="E40" s="322"/>
      <c r="F40" s="73">
        <f t="shared" si="0"/>
        <v>45875</v>
      </c>
      <c r="G40" s="323" t="str">
        <f>IFERROR(Inv_SY!F42/Inv_SY!$P42-1,"")</f>
        <v/>
      </c>
      <c r="H40" s="323" t="str">
        <f>IFERROR(Inv_SY!G42/Inv_SY!$P42-1,"")</f>
        <v/>
      </c>
      <c r="I40" s="323" t="str">
        <f>IFERROR(Inv_SY!H42/Inv_SY!$P42-1,"")</f>
        <v/>
      </c>
      <c r="J40" s="323" t="str">
        <f>IFERROR(Inv_SY!I42/Inv_SY!$P42-1,"")</f>
        <v/>
      </c>
      <c r="K40" s="323" t="str">
        <f>IFERROR(Inv_SY!J42/Inv_SY!$P42-1,"")</f>
        <v/>
      </c>
      <c r="L40" s="323" t="str">
        <f>IFERROR(Inv_SY!K42/Inv_SY!$P42-1,"")</f>
        <v/>
      </c>
      <c r="M40" s="323" t="str">
        <f>IFERROR(Inv_SY!L42/Inv_SY!$P42-1,"")</f>
        <v/>
      </c>
      <c r="N40" s="323" t="str">
        <f>IFERROR(Inv_SY!M42/Inv_SY!$P42-1,"")</f>
        <v/>
      </c>
      <c r="O40" s="323" t="str">
        <f>IFERROR(Inv_SY!N42/Inv_SY!$P42-1,"")</f>
        <v/>
      </c>
      <c r="P40" s="323" t="str">
        <f>IFERROR(Inv_SY!O42/Inv_SY!$P42-1,"")</f>
        <v/>
      </c>
      <c r="Q40" s="319" t="str">
        <f>IFERROR(Inv_SY!Q42/Inv_SY!$AA42-1,"")</f>
        <v/>
      </c>
      <c r="R40" s="319" t="str">
        <f>IFERROR(Inv_SY!R42/Inv_SY!$AA42-1,"")</f>
        <v/>
      </c>
      <c r="S40" s="319" t="str">
        <f>IFERROR(Inv_SY!S42/Inv_SY!$AA42-1,"")</f>
        <v/>
      </c>
      <c r="T40" s="319" t="str">
        <f>IFERROR(Inv_SY!T42/Inv_SY!$AA42-1,"")</f>
        <v/>
      </c>
      <c r="U40" s="319" t="str">
        <f>IFERROR(Inv_SY!U42/Inv_SY!$AA42-1,"")</f>
        <v/>
      </c>
      <c r="V40" s="319" t="str">
        <f>IFERROR(Inv_SY!V42/Inv_SY!$AA42-1,"")</f>
        <v/>
      </c>
      <c r="W40" s="319" t="str">
        <f>IFERROR(Inv_SY!W42/Inv_SY!$AA42-1,"")</f>
        <v/>
      </c>
      <c r="X40" s="319" t="str">
        <f>IFERROR(Inv_SY!X42/Inv_SY!$AA42-1,"")</f>
        <v/>
      </c>
      <c r="Y40" s="319" t="str">
        <f>IFERROR(Inv_SY!Y42/Inv_SY!$AA42-1,"")</f>
        <v/>
      </c>
      <c r="Z40" s="319" t="str">
        <f>IFERROR(Inv_SY!Z42/Inv_SY!$AA42-1,"")</f>
        <v/>
      </c>
    </row>
    <row r="41" spans="1:26" x14ac:dyDescent="0.35">
      <c r="A41" s="321"/>
      <c r="B41" s="322"/>
      <c r="C41" s="322"/>
      <c r="D41" s="322"/>
      <c r="E41" s="322"/>
      <c r="F41" s="73">
        <f t="shared" si="0"/>
        <v>45876</v>
      </c>
      <c r="G41" s="323" t="str">
        <f>IFERROR(Inv_SY!F43/Inv_SY!$P43-1,"")</f>
        <v/>
      </c>
      <c r="H41" s="323" t="str">
        <f>IFERROR(Inv_SY!G43/Inv_SY!$P43-1,"")</f>
        <v/>
      </c>
      <c r="I41" s="323" t="str">
        <f>IFERROR(Inv_SY!H43/Inv_SY!$P43-1,"")</f>
        <v/>
      </c>
      <c r="J41" s="323" t="str">
        <f>IFERROR(Inv_SY!I43/Inv_SY!$P43-1,"")</f>
        <v/>
      </c>
      <c r="K41" s="323" t="str">
        <f>IFERROR(Inv_SY!J43/Inv_SY!$P43-1,"")</f>
        <v/>
      </c>
      <c r="L41" s="323" t="str">
        <f>IFERROR(Inv_SY!K43/Inv_SY!$P43-1,"")</f>
        <v/>
      </c>
      <c r="M41" s="323" t="str">
        <f>IFERROR(Inv_SY!L43/Inv_SY!$P43-1,"")</f>
        <v/>
      </c>
      <c r="N41" s="323" t="str">
        <f>IFERROR(Inv_SY!M43/Inv_SY!$P43-1,"")</f>
        <v/>
      </c>
      <c r="O41" s="323" t="str">
        <f>IFERROR(Inv_SY!N43/Inv_SY!$P43-1,"")</f>
        <v/>
      </c>
      <c r="P41" s="323" t="str">
        <f>IFERROR(Inv_SY!O43/Inv_SY!$P43-1,"")</f>
        <v/>
      </c>
      <c r="Q41" s="319" t="str">
        <f>IFERROR(Inv_SY!Q43/Inv_SY!$AA43-1,"")</f>
        <v/>
      </c>
      <c r="R41" s="319" t="str">
        <f>IFERROR(Inv_SY!R43/Inv_SY!$AA43-1,"")</f>
        <v/>
      </c>
      <c r="S41" s="319" t="str">
        <f>IFERROR(Inv_SY!S43/Inv_SY!$AA43-1,"")</f>
        <v/>
      </c>
      <c r="T41" s="319" t="str">
        <f>IFERROR(Inv_SY!T43/Inv_SY!$AA43-1,"")</f>
        <v/>
      </c>
      <c r="U41" s="319" t="str">
        <f>IFERROR(Inv_SY!U43/Inv_SY!$AA43-1,"")</f>
        <v/>
      </c>
      <c r="V41" s="319" t="str">
        <f>IFERROR(Inv_SY!V43/Inv_SY!$AA43-1,"")</f>
        <v/>
      </c>
      <c r="W41" s="319" t="str">
        <f>IFERROR(Inv_SY!W43/Inv_SY!$AA43-1,"")</f>
        <v/>
      </c>
      <c r="X41" s="319" t="str">
        <f>IFERROR(Inv_SY!X43/Inv_SY!$AA43-1,"")</f>
        <v/>
      </c>
      <c r="Y41" s="319" t="str">
        <f>IFERROR(Inv_SY!Y43/Inv_SY!$AA43-1,"")</f>
        <v/>
      </c>
      <c r="Z41" s="319" t="str">
        <f>IFERROR(Inv_SY!Z43/Inv_SY!$AA43-1,"")</f>
        <v/>
      </c>
    </row>
    <row r="42" spans="1:26" x14ac:dyDescent="0.35">
      <c r="A42" s="321"/>
      <c r="B42" s="322"/>
      <c r="C42" s="322"/>
      <c r="D42" s="322"/>
      <c r="E42" s="322"/>
      <c r="F42" s="73">
        <f t="shared" si="0"/>
        <v>45877</v>
      </c>
      <c r="G42" s="323" t="str">
        <f>IFERROR(Inv_SY!F44/Inv_SY!$P44-1,"")</f>
        <v/>
      </c>
      <c r="H42" s="323" t="str">
        <f>IFERROR(Inv_SY!G44/Inv_SY!$P44-1,"")</f>
        <v/>
      </c>
      <c r="I42" s="323" t="str">
        <f>IFERROR(Inv_SY!H44/Inv_SY!$P44-1,"")</f>
        <v/>
      </c>
      <c r="J42" s="323" t="str">
        <f>IFERROR(Inv_SY!I44/Inv_SY!$P44-1,"")</f>
        <v/>
      </c>
      <c r="K42" s="323" t="str">
        <f>IFERROR(Inv_SY!J44/Inv_SY!$P44-1,"")</f>
        <v/>
      </c>
      <c r="L42" s="323" t="str">
        <f>IFERROR(Inv_SY!K44/Inv_SY!$P44-1,"")</f>
        <v/>
      </c>
      <c r="M42" s="323" t="str">
        <f>IFERROR(Inv_SY!L44/Inv_SY!$P44-1,"")</f>
        <v/>
      </c>
      <c r="N42" s="323" t="str">
        <f>IFERROR(Inv_SY!M44/Inv_SY!$P44-1,"")</f>
        <v/>
      </c>
      <c r="O42" s="323" t="str">
        <f>IFERROR(Inv_SY!N44/Inv_SY!$P44-1,"")</f>
        <v/>
      </c>
      <c r="P42" s="323" t="str">
        <f>IFERROR(Inv_SY!O44/Inv_SY!$P44-1,"")</f>
        <v/>
      </c>
      <c r="Q42" s="319" t="str">
        <f>IFERROR(Inv_SY!Q44/Inv_SY!$AA44-1,"")</f>
        <v/>
      </c>
      <c r="R42" s="319" t="str">
        <f>IFERROR(Inv_SY!R44/Inv_SY!$AA44-1,"")</f>
        <v/>
      </c>
      <c r="S42" s="319" t="str">
        <f>IFERROR(Inv_SY!S44/Inv_SY!$AA44-1,"")</f>
        <v/>
      </c>
      <c r="T42" s="319" t="str">
        <f>IFERROR(Inv_SY!T44/Inv_SY!$AA44-1,"")</f>
        <v/>
      </c>
      <c r="U42" s="319" t="str">
        <f>IFERROR(Inv_SY!U44/Inv_SY!$AA44-1,"")</f>
        <v/>
      </c>
      <c r="V42" s="319" t="str">
        <f>IFERROR(Inv_SY!V44/Inv_SY!$AA44-1,"")</f>
        <v/>
      </c>
      <c r="W42" s="319" t="str">
        <f>IFERROR(Inv_SY!W44/Inv_SY!$AA44-1,"")</f>
        <v/>
      </c>
      <c r="X42" s="319" t="str">
        <f>IFERROR(Inv_SY!X44/Inv_SY!$AA44-1,"")</f>
        <v/>
      </c>
      <c r="Y42" s="319" t="str">
        <f>IFERROR(Inv_SY!Y44/Inv_SY!$AA44-1,"")</f>
        <v/>
      </c>
      <c r="Z42" s="319" t="str">
        <f>IFERROR(Inv_SY!Z44/Inv_SY!$AA44-1,"")</f>
        <v/>
      </c>
    </row>
    <row r="43" spans="1:26" x14ac:dyDescent="0.35">
      <c r="A43" s="321"/>
      <c r="B43" s="322"/>
      <c r="C43" s="322"/>
      <c r="D43" s="322"/>
      <c r="E43" s="322"/>
      <c r="F43" s="73">
        <f t="shared" si="0"/>
        <v>45878</v>
      </c>
      <c r="G43" s="323" t="str">
        <f>IFERROR(Inv_SY!F45/Inv_SY!$P45-1,"")</f>
        <v/>
      </c>
      <c r="H43" s="323" t="str">
        <f>IFERROR(Inv_SY!G45/Inv_SY!$P45-1,"")</f>
        <v/>
      </c>
      <c r="I43" s="323" t="str">
        <f>IFERROR(Inv_SY!H45/Inv_SY!$P45-1,"")</f>
        <v/>
      </c>
      <c r="J43" s="323" t="str">
        <f>IFERROR(Inv_SY!I45/Inv_SY!$P45-1,"")</f>
        <v/>
      </c>
      <c r="K43" s="323" t="str">
        <f>IFERROR(Inv_SY!J45/Inv_SY!$P45-1,"")</f>
        <v/>
      </c>
      <c r="L43" s="323" t="str">
        <f>IFERROR(Inv_SY!K45/Inv_SY!$P45-1,"")</f>
        <v/>
      </c>
      <c r="M43" s="323" t="str">
        <f>IFERROR(Inv_SY!L45/Inv_SY!$P45-1,"")</f>
        <v/>
      </c>
      <c r="N43" s="323" t="str">
        <f>IFERROR(Inv_SY!M45/Inv_SY!$P45-1,"")</f>
        <v/>
      </c>
      <c r="O43" s="323" t="str">
        <f>IFERROR(Inv_SY!N45/Inv_SY!$P45-1,"")</f>
        <v/>
      </c>
      <c r="P43" s="323" t="str">
        <f>IFERROR(Inv_SY!O45/Inv_SY!$P45-1,"")</f>
        <v/>
      </c>
      <c r="Q43" s="319" t="str">
        <f>IFERROR(Inv_SY!Q45/Inv_SY!$AA45-1,"")</f>
        <v/>
      </c>
      <c r="R43" s="319" t="str">
        <f>IFERROR(Inv_SY!R45/Inv_SY!$AA45-1,"")</f>
        <v/>
      </c>
      <c r="S43" s="319" t="str">
        <f>IFERROR(Inv_SY!S45/Inv_SY!$AA45-1,"")</f>
        <v/>
      </c>
      <c r="T43" s="319" t="str">
        <f>IFERROR(Inv_SY!T45/Inv_SY!$AA45-1,"")</f>
        <v/>
      </c>
      <c r="U43" s="319" t="str">
        <f>IFERROR(Inv_SY!U45/Inv_SY!$AA45-1,"")</f>
        <v/>
      </c>
      <c r="V43" s="319" t="str">
        <f>IFERROR(Inv_SY!V45/Inv_SY!$AA45-1,"")</f>
        <v/>
      </c>
      <c r="W43" s="319" t="str">
        <f>IFERROR(Inv_SY!W45/Inv_SY!$AA45-1,"")</f>
        <v/>
      </c>
      <c r="X43" s="319" t="str">
        <f>IFERROR(Inv_SY!X45/Inv_SY!$AA45-1,"")</f>
        <v/>
      </c>
      <c r="Y43" s="319" t="str">
        <f>IFERROR(Inv_SY!Y45/Inv_SY!$AA45-1,"")</f>
        <v/>
      </c>
      <c r="Z43" s="319" t="str">
        <f>IFERROR(Inv_SY!Z45/Inv_SY!$AA45-1,"")</f>
        <v/>
      </c>
    </row>
  </sheetData>
  <phoneticPr fontId="18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26" zoomScale="55" zoomScaleNormal="55" workbookViewId="0">
      <pane xSplit="1" topLeftCell="T1" activePane="topRight" state="frozen"/>
      <selection activeCell="E3" sqref="E3"/>
      <selection pane="topRight" activeCell="AM42" sqref="AM42"/>
    </sheetView>
  </sheetViews>
  <sheetFormatPr defaultColWidth="8.81640625" defaultRowHeight="14.5" x14ac:dyDescent="0.35"/>
  <cols>
    <col min="1" max="2" width="11.1796875" customWidth="1"/>
    <col min="4" max="4" width="14.1796875" customWidth="1"/>
    <col min="5" max="5" width="11.81640625" customWidth="1"/>
    <col min="6" max="6" width="10.1796875" style="2" bestFit="1" customWidth="1"/>
    <col min="7" max="28" width="10.1796875" style="2" customWidth="1"/>
    <col min="29" max="29" width="8.81640625" style="2"/>
  </cols>
  <sheetData>
    <row r="1" spans="1:29" hidden="1" x14ac:dyDescent="0.3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 x14ac:dyDescent="0.3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5" thickBot="1" x14ac:dyDescent="0.4">
      <c r="A3" s="33" t="s">
        <v>116</v>
      </c>
      <c r="B3" s="33" t="s">
        <v>117</v>
      </c>
      <c r="C3" s="33" t="s">
        <v>118</v>
      </c>
      <c r="D3" s="168" t="s">
        <v>119</v>
      </c>
      <c r="E3" s="170" t="s">
        <v>72</v>
      </c>
      <c r="F3" s="167" t="s">
        <v>121</v>
      </c>
      <c r="G3" s="167" t="s">
        <v>122</v>
      </c>
      <c r="H3" s="167" t="s">
        <v>123</v>
      </c>
      <c r="I3" s="167" t="s">
        <v>124</v>
      </c>
      <c r="J3" s="167" t="s">
        <v>125</v>
      </c>
      <c r="K3" s="167" t="s">
        <v>126</v>
      </c>
      <c r="L3" s="167" t="s">
        <v>127</v>
      </c>
      <c r="M3" s="167" t="s">
        <v>128</v>
      </c>
      <c r="N3" s="167" t="s">
        <v>129</v>
      </c>
      <c r="O3" s="167" t="s">
        <v>130</v>
      </c>
      <c r="P3" s="167" t="s">
        <v>36</v>
      </c>
      <c r="Q3" s="167" t="s">
        <v>131</v>
      </c>
      <c r="R3" s="167" t="s">
        <v>132</v>
      </c>
      <c r="S3" s="167" t="s">
        <v>133</v>
      </c>
      <c r="T3" s="167" t="s">
        <v>134</v>
      </c>
      <c r="U3" s="167" t="s">
        <v>135</v>
      </c>
      <c r="V3" s="167" t="s">
        <v>136</v>
      </c>
      <c r="W3" s="167" t="s">
        <v>137</v>
      </c>
      <c r="X3" s="167" t="s">
        <v>138</v>
      </c>
      <c r="Y3" s="167" t="s">
        <v>139</v>
      </c>
      <c r="Z3" s="167" t="s">
        <v>140</v>
      </c>
      <c r="AA3" s="167" t="s">
        <v>143</v>
      </c>
      <c r="AB3" s="167" t="s">
        <v>144</v>
      </c>
      <c r="AC3"/>
    </row>
    <row r="4" spans="1:29" ht="15" customHeight="1" thickTop="1" x14ac:dyDescent="0.35">
      <c r="A4" s="321" t="s">
        <v>141</v>
      </c>
      <c r="B4" s="321"/>
      <c r="C4" s="67">
        <f>YEAR(RD[[#This Row],[Month Year]])</f>
        <v>2025</v>
      </c>
      <c r="D4" s="169" t="s">
        <v>142</v>
      </c>
      <c r="E4" s="171">
        <f>'Daily Dashboard'!B5-32</f>
        <v>45837</v>
      </c>
      <c r="F4" s="1">
        <f>VLOOKUP(Inv_Sy[[#This Row],[Date]],RD[#All],F$1,0)/F$2</f>
        <v>2.8087797619047619</v>
      </c>
      <c r="G4" s="1">
        <f>VLOOKUP(Inv_Sy[[#This Row],[Date]],RD[#All],G$1,0)/G$2</f>
        <v>2.7880859375</v>
      </c>
      <c r="H4" s="1">
        <f>VLOOKUP(Inv_Sy[[#This Row],[Date]],RD[#All],H$1,0)/H$2</f>
        <v>2.7976190476190474</v>
      </c>
      <c r="I4" s="1">
        <f>VLOOKUP(Inv_Sy[[#This Row],[Date]],RD[#All],I$1,0)/I$2</f>
        <v>2.774928774928775</v>
      </c>
      <c r="J4" s="1">
        <f>VLOOKUP(Inv_Sy[[#This Row],[Date]],RD[#All],J$1,0)/J$2</f>
        <v>2.8133012820512819</v>
      </c>
      <c r="K4" s="1">
        <f>VLOOKUP(Inv_Sy[[#This Row],[Date]],RD[#All],K$1,0)/K$2</f>
        <v>2.792022792022792</v>
      </c>
      <c r="L4" s="1">
        <f>VLOOKUP(Inv_Sy[[#This Row],[Date]],RD[#All],L$1,0)/L$2</f>
        <v>2.8772504091653026</v>
      </c>
      <c r="M4" s="1">
        <f>VLOOKUP(Inv_Sy[[#This Row],[Date]],RD[#All],M$1,0)/M$2</f>
        <v>2.9482886904761902</v>
      </c>
      <c r="N4" s="1">
        <f>VLOOKUP(Inv_Sy[[#This Row],[Date]],RD[#All],N$1,0)/N$2</f>
        <v>2.8387888707037643</v>
      </c>
      <c r="O4" s="1">
        <f>VLOOKUP(Inv_Sy[[#This Row],[Date]],RD[#All],O$1,0)/O$2</f>
        <v>2.9222470238095237</v>
      </c>
      <c r="P4" s="1">
        <f>AVERAGEIFS(Inv_Sy[[#This Row],[G1 Inv1]:[G5 Inv10]],Inv_Sy[[#This Row],[G1 Inv1]:[G5 Inv10]],"&lt;&gt;"&amp;0)</f>
        <v>2.8361312590181442</v>
      </c>
      <c r="Q4" s="1">
        <f>VLOOKUP(Inv_Sy[[#This Row],[Date]],RD[#All],Q$1,0)/Q$2</f>
        <v>3.0585289620057474</v>
      </c>
      <c r="R4" s="1">
        <f>VLOOKUP(Inv_Sy[[#This Row],[Date]],RD[#All],R$1,0)/R$2</f>
        <v>3.0029963650653309</v>
      </c>
      <c r="S4" s="1">
        <f>VLOOKUP(Inv_Sy[[#This Row],[Date]],RD[#All],S$1,0)/S$2</f>
        <v>3.1898279026980254</v>
      </c>
      <c r="T4" s="1">
        <f>VLOOKUP(Inv_Sy[[#This Row],[Date]],RD[#All],T$1,0)/T$2</f>
        <v>3.1087033733277267</v>
      </c>
      <c r="U4" s="1">
        <f>VLOOKUP(Inv_Sy[[#This Row],[Date]],RD[#All],U$1,0)/U$2</f>
        <v>3.0699090613835658</v>
      </c>
      <c r="V4" s="1">
        <f>VLOOKUP(Inv_Sy[[#This Row],[Date]],RD[#All],V$1,0)/V$2</f>
        <v>3.0672166949769473</v>
      </c>
      <c r="W4" s="1">
        <f>VLOOKUP(Inv_Sy[[#This Row],[Date]],RD[#All],W$1,0)/W$2</f>
        <v>3.0363372152187273</v>
      </c>
      <c r="X4" s="1">
        <f>VLOOKUP(Inv_Sy[[#This Row],[Date]],RD[#All],X$1,0)/X$2</f>
        <v>2.9809064735292443</v>
      </c>
      <c r="Y4" s="1">
        <f>VLOOKUP(Inv_Sy[[#This Row],[Date]],RD[#All],Y$1,0)/Y$2</f>
        <v>3.0729130847420318</v>
      </c>
      <c r="Z4" s="1">
        <f>VLOOKUP(Inv_Sy[[#This Row],[Date]],RD[#All],Z$1,0)/Z$2</f>
        <v>3.0412747193151222</v>
      </c>
      <c r="AA4" s="1">
        <f t="shared" ref="AA4:AA55" si="1">IFERROR(AVERAGEIF(Q4:Z4,"&gt;"&amp;0,Q4:Z4),"")</f>
        <v>3.0628613852262463</v>
      </c>
      <c r="AB4" s="1">
        <f>MAX(Inv_Sy[[#This Row],[G1 Inv1]:[IS1_Inv2]])</f>
        <v>3.1898279026980254</v>
      </c>
      <c r="AC4"/>
    </row>
    <row r="5" spans="1:29" ht="15" customHeight="1" x14ac:dyDescent="0.35">
      <c r="A5" s="321" t="s">
        <v>141</v>
      </c>
      <c r="B5" s="321"/>
      <c r="C5" s="67">
        <f>YEAR(RD[[#This Row],[Month Year]])</f>
        <v>2025</v>
      </c>
      <c r="D5" s="169" t="s">
        <v>142</v>
      </c>
      <c r="E5" s="171">
        <f t="shared" ref="E5:E22" si="2">E4+1</f>
        <v>45838</v>
      </c>
      <c r="F5" s="1">
        <f>VLOOKUP(Inv_Sy[[#This Row],[Date]],RD[#All],F$1,0)/F$2</f>
        <v>2.4990699404761902</v>
      </c>
      <c r="G5" s="1">
        <f>VLOOKUP(Inv_Sy[[#This Row],[Date]],RD[#All],G$1,0)/G$2</f>
        <v>2.4910481770833335</v>
      </c>
      <c r="H5" s="1">
        <f>VLOOKUP(Inv_Sy[[#This Row],[Date]],RD[#All],H$1,0)/H$2</f>
        <v>2.4888392857142856</v>
      </c>
      <c r="I5" s="1">
        <f>VLOOKUP(Inv_Sy[[#This Row],[Date]],RD[#All],I$1,0)/I$2</f>
        <v>2.4908424908424909</v>
      </c>
      <c r="J5" s="1">
        <f>VLOOKUP(Inv_Sy[[#This Row],[Date]],RD[#All],J$1,0)/J$2</f>
        <v>2.4479166666666665</v>
      </c>
      <c r="K5" s="1">
        <f>VLOOKUP(Inv_Sy[[#This Row],[Date]],RD[#All],K$1,0)/K$2</f>
        <v>2.4919278252611585</v>
      </c>
      <c r="L5" s="1">
        <f>VLOOKUP(Inv_Sy[[#This Row],[Date]],RD[#All],L$1,0)/L$2</f>
        <v>2.5458265139116203</v>
      </c>
      <c r="M5" s="1">
        <f>VLOOKUP(Inv_Sy[[#This Row],[Date]],RD[#All],M$1,0)/M$2</f>
        <v>2.5967261904761902</v>
      </c>
      <c r="N5" s="1">
        <f>VLOOKUP(Inv_Sy[[#This Row],[Date]],RD[#All],N$1,0)/N$2</f>
        <v>2.5171849427168578</v>
      </c>
      <c r="O5" s="1">
        <f>VLOOKUP(Inv_Sy[[#This Row],[Date]],RD[#All],O$1,0)/O$2</f>
        <v>2.5762648809523809</v>
      </c>
      <c r="P5" s="1">
        <f>AVERAGEIFS(Inv_Sy[[#This Row],[G1 Inv1]:[G5 Inv10]],Inv_Sy[[#This Row],[G1 Inv1]:[G5 Inv10]],"&lt;&gt;"&amp;0)</f>
        <v>2.5145646914101172</v>
      </c>
      <c r="Q5" s="1">
        <f>VLOOKUP(Inv_Sy[[#This Row],[Date]],RD[#All],Q$1,0)/Q$2</f>
        <v>2.7581542287721188</v>
      </c>
      <c r="R5" s="1">
        <f>VLOOKUP(Inv_Sy[[#This Row],[Date]],RD[#All],R$1,0)/R$2</f>
        <v>2.693208239185251</v>
      </c>
      <c r="S5" s="1">
        <f>VLOOKUP(Inv_Sy[[#This Row],[Date]],RD[#All],S$1,0)/S$2</f>
        <v>2.8401725593645377</v>
      </c>
      <c r="T5" s="1">
        <f>VLOOKUP(Inv_Sy[[#This Row],[Date]],RD[#All],T$1,0)/T$2</f>
        <v>2.7636547717706805</v>
      </c>
      <c r="U5" s="1">
        <f>VLOOKUP(Inv_Sy[[#This Row],[Date]],RD[#All],U$1,0)/U$2</f>
        <v>2.7387138681390057</v>
      </c>
      <c r="V5" s="1">
        <f>VLOOKUP(Inv_Sy[[#This Row],[Date]],RD[#All],V$1,0)/V$2</f>
        <v>2.7524286873791937</v>
      </c>
      <c r="W5" s="1">
        <f>VLOOKUP(Inv_Sy[[#This Row],[Date]],RD[#All],W$1,0)/W$2</f>
        <v>2.7429366917544198</v>
      </c>
      <c r="X5" s="1">
        <f>VLOOKUP(Inv_Sy[[#This Row],[Date]],RD[#All],X$1,0)/X$2</f>
        <v>2.7037607966918693</v>
      </c>
      <c r="Y5" s="1">
        <f>VLOOKUP(Inv_Sy[[#This Row],[Date]],RD[#All],Y$1,0)/Y$2</f>
        <v>2.7271914501464858</v>
      </c>
      <c r="Z5" s="1">
        <f>VLOOKUP(Inv_Sy[[#This Row],[Date]],RD[#All],Z$1,0)/Z$2</f>
        <v>2.7023223082336378</v>
      </c>
      <c r="AA5" s="1">
        <f t="shared" si="1"/>
        <v>2.7422543601437197</v>
      </c>
      <c r="AB5" s="1">
        <f>MAX(Inv_Sy[[#This Row],[G1 Inv1]:[IS1_Inv2]])</f>
        <v>2.8401725593645377</v>
      </c>
      <c r="AC5"/>
    </row>
    <row r="6" spans="1:29" ht="15" customHeight="1" x14ac:dyDescent="0.35">
      <c r="A6" s="321" t="s">
        <v>141</v>
      </c>
      <c r="B6" s="321"/>
      <c r="C6" s="67">
        <f>YEAR(RD[[#This Row],[Month Year]])</f>
        <v>2025</v>
      </c>
      <c r="D6" s="169" t="s">
        <v>142</v>
      </c>
      <c r="E6" s="171">
        <f t="shared" si="2"/>
        <v>45839</v>
      </c>
      <c r="F6" s="1">
        <f>VLOOKUP(Inv_Sy[[#This Row],[Date]],RD[#All],F$1,0)/F$2</f>
        <v>1.7745535714285714</v>
      </c>
      <c r="G6" s="1">
        <f>VLOOKUP(Inv_Sy[[#This Row],[Date]],RD[#All],G$1,0)/G$2</f>
        <v>1.77734375</v>
      </c>
      <c r="H6" s="1">
        <f>VLOOKUP(Inv_Sy[[#This Row],[Date]],RD[#All],H$1,0)/H$2</f>
        <v>1.77734375</v>
      </c>
      <c r="I6" s="1">
        <f>VLOOKUP(Inv_Sy[[#This Row],[Date]],RD[#All],I$1,0)/I$2</f>
        <v>1.7826617826617828</v>
      </c>
      <c r="J6" s="1">
        <f>VLOOKUP(Inv_Sy[[#This Row],[Date]],RD[#All],J$1,0)/J$2</f>
        <v>1.78125</v>
      </c>
      <c r="K6" s="1">
        <f>VLOOKUP(Inv_Sy[[#This Row],[Date]],RD[#All],K$1,0)/K$2</f>
        <v>1.7825261158594492</v>
      </c>
      <c r="L6" s="1">
        <f>VLOOKUP(Inv_Sy[[#This Row],[Date]],RD[#All],L$1,0)/L$2</f>
        <v>1.8322422258592472</v>
      </c>
      <c r="M6" s="1">
        <f>VLOOKUP(Inv_Sy[[#This Row],[Date]],RD[#All],M$1,0)/M$2</f>
        <v>1.8656994047619047</v>
      </c>
      <c r="N6" s="1">
        <f>VLOOKUP(Inv_Sy[[#This Row],[Date]],RD[#All],N$1,0)/N$2</f>
        <v>1.7995090016366613</v>
      </c>
      <c r="O6" s="1">
        <f>VLOOKUP(Inv_Sy[[#This Row],[Date]],RD[#All],O$1,0)/O$2</f>
        <v>1.8405877976190474</v>
      </c>
      <c r="P6" s="1">
        <f>AVERAGEIFS(Inv_Sy[[#This Row],[G1 Inv1]:[G5 Inv10]],Inv_Sy[[#This Row],[G1 Inv1]:[G5 Inv10]],"&lt;&gt;"&amp;0)</f>
        <v>1.8013717399826663</v>
      </c>
      <c r="Q6" s="1">
        <f>VLOOKUP(Inv_Sy[[#This Row],[Date]],RD[#All],Q$1,0)/Q$2</f>
        <v>1.9429834142734714</v>
      </c>
      <c r="R6" s="1">
        <f>VLOOKUP(Inv_Sy[[#This Row],[Date]],RD[#All],R$1,0)/R$2</f>
        <v>1.9003995153420445</v>
      </c>
      <c r="S6" s="1">
        <f>VLOOKUP(Inv_Sy[[#This Row],[Date]],RD[#All],S$1,0)/S$2</f>
        <v>2.0110642981059637</v>
      </c>
      <c r="T6" s="1">
        <f>VLOOKUP(Inv_Sy[[#This Row],[Date]],RD[#All],T$1,0)/T$2</f>
        <v>1.9584325028270957</v>
      </c>
      <c r="U6" s="1">
        <f>VLOOKUP(Inv_Sy[[#This Row],[Date]],RD[#All],U$1,0)/U$2</f>
        <v>1.9396719714192918</v>
      </c>
      <c r="V6" s="1">
        <f>VLOOKUP(Inv_Sy[[#This Row],[Date]],RD[#All],V$1,0)/V$2</f>
        <v>1.9431172547674234</v>
      </c>
      <c r="W6" s="1">
        <f>VLOOKUP(Inv_Sy[[#This Row],[Date]],RD[#All],W$1,0)/W$2</f>
        <v>1.9355967940864001</v>
      </c>
      <c r="X6" s="1">
        <f>VLOOKUP(Inv_Sy[[#This Row],[Date]],RD[#All],X$1,0)/X$2</f>
        <v>1.9051114536690403</v>
      </c>
      <c r="Y6" s="1">
        <f>VLOOKUP(Inv_Sy[[#This Row],[Date]],RD[#All],Y$1,0)/Y$2</f>
        <v>1.9663562714055809</v>
      </c>
      <c r="Z6" s="1">
        <f>VLOOKUP(Inv_Sy[[#This Row],[Date]],RD[#All],Z$1,0)/Z$2</f>
        <v>1.9515911394611622</v>
      </c>
      <c r="AA6" s="1">
        <f t="shared" si="1"/>
        <v>1.9454324615357474</v>
      </c>
      <c r="AB6" s="1">
        <f>MAX(Inv_Sy[[#This Row],[G1 Inv1]:[IS1_Inv2]])</f>
        <v>2.0110642981059637</v>
      </c>
      <c r="AC6"/>
    </row>
    <row r="7" spans="1:29" ht="15" customHeight="1" x14ac:dyDescent="0.35">
      <c r="A7" s="321" t="s">
        <v>141</v>
      </c>
      <c r="B7" s="321"/>
      <c r="C7" s="67">
        <f>YEAR(RD[[#This Row],[Month Year]])</f>
        <v>2025</v>
      </c>
      <c r="D7" s="169" t="s">
        <v>142</v>
      </c>
      <c r="E7" s="171">
        <f t="shared" si="2"/>
        <v>45840</v>
      </c>
      <c r="F7" s="1">
        <f>VLOOKUP(Inv_Sy[[#This Row],[Date]],RD[#All],F$1,0)/F$2</f>
        <v>2.28515625</v>
      </c>
      <c r="G7" s="1">
        <f>VLOOKUP(Inv_Sy[[#This Row],[Date]],RD[#All],G$1,0)/G$2</f>
        <v>2.277018229166667</v>
      </c>
      <c r="H7" s="1">
        <f>VLOOKUP(Inv_Sy[[#This Row],[Date]],RD[#All],H$1,0)/H$2</f>
        <v>2.2628348214285712</v>
      </c>
      <c r="I7" s="1">
        <f>VLOOKUP(Inv_Sy[[#This Row],[Date]],RD[#All],I$1,0)/I$2</f>
        <v>2.2759462759462759</v>
      </c>
      <c r="J7" s="1">
        <f>VLOOKUP(Inv_Sy[[#This Row],[Date]],RD[#All],J$1,0)/J$2</f>
        <v>2.2956730769230771</v>
      </c>
      <c r="K7" s="1">
        <f>VLOOKUP(Inv_Sy[[#This Row],[Date]],RD[#All],K$1,0)/K$2</f>
        <v>2.2830009496676165</v>
      </c>
      <c r="L7" s="1">
        <f>VLOOKUP(Inv_Sy[[#This Row],[Date]],RD[#All],L$1,0)/L$2</f>
        <v>2.3404255319148937</v>
      </c>
      <c r="M7" s="1">
        <f>VLOOKUP(Inv_Sy[[#This Row],[Date]],RD[#All],M$1,0)/M$2</f>
        <v>2.40234375</v>
      </c>
      <c r="N7" s="1">
        <f>VLOOKUP(Inv_Sy[[#This Row],[Date]],RD[#All],N$1,0)/N$2</f>
        <v>2.3445171849427169</v>
      </c>
      <c r="O7" s="1">
        <f>VLOOKUP(Inv_Sy[[#This Row],[Date]],RD[#All],O$1,0)/O$2</f>
        <v>2.421875</v>
      </c>
      <c r="P7" s="1">
        <f>AVERAGEIFS(Inv_Sy[[#This Row],[G1 Inv1]:[G5 Inv10]],Inv_Sy[[#This Row],[G1 Inv1]:[G5 Inv10]],"&lt;&gt;"&amp;0)</f>
        <v>2.318879106998982</v>
      </c>
      <c r="Q7" s="1">
        <f>VLOOKUP(Inv_Sy[[#This Row],[Date]],RD[#All],Q$1,0)/Q$2</f>
        <v>2.6171671511872159</v>
      </c>
      <c r="R7" s="1">
        <f>VLOOKUP(Inv_Sy[[#This Row],[Date]],RD[#All],R$1,0)/R$2</f>
        <v>2.5647575072862434</v>
      </c>
      <c r="S7" s="1">
        <f>VLOOKUP(Inv_Sy[[#This Row],[Date]],RD[#All],S$1,0)/S$2</f>
        <v>2.7151636331559295</v>
      </c>
      <c r="T7" s="1">
        <f>VLOOKUP(Inv_Sy[[#This Row],[Date]],RD[#All],T$1,0)/T$2</f>
        <v>2.6457536405240232</v>
      </c>
      <c r="U7" s="1">
        <f>VLOOKUP(Inv_Sy[[#This Row],[Date]],RD[#All],U$1,0)/U$2</f>
        <v>2.6194381292627473</v>
      </c>
      <c r="V7" s="1">
        <f>VLOOKUP(Inv_Sy[[#This Row],[Date]],RD[#All],V$1,0)/V$2</f>
        <v>2.6159536101883543</v>
      </c>
      <c r="W7" s="1">
        <f>VLOOKUP(Inv_Sy[[#This Row],[Date]],RD[#All],W$1,0)/W$2</f>
        <v>2.6034818924496581</v>
      </c>
      <c r="X7" s="1">
        <f>VLOOKUP(Inv_Sy[[#This Row],[Date]],RD[#All],X$1,0)/X$2</f>
        <v>2.5585814839283239</v>
      </c>
      <c r="Y7" s="1">
        <f>VLOOKUP(Inv_Sy[[#This Row],[Date]],RD[#All],Y$1,0)/Y$2</f>
        <v>2.5465936756392438</v>
      </c>
      <c r="Z7" s="1">
        <f>VLOOKUP(Inv_Sy[[#This Row],[Date]],RD[#All],Z$1,0)/Z$2</f>
        <v>2.5016624808733994</v>
      </c>
      <c r="AA7" s="1">
        <f t="shared" si="1"/>
        <v>2.598855320449514</v>
      </c>
      <c r="AB7" s="1">
        <f>MAX(Inv_Sy[[#This Row],[G1 Inv1]:[IS1_Inv2]])</f>
        <v>2.7151636331559295</v>
      </c>
      <c r="AC7"/>
    </row>
    <row r="8" spans="1:29" ht="15" customHeight="1" x14ac:dyDescent="0.35">
      <c r="A8" s="321" t="s">
        <v>141</v>
      </c>
      <c r="B8" s="321"/>
      <c r="C8" s="67">
        <f>YEAR(RD[[#This Row],[Month Year]])</f>
        <v>2025</v>
      </c>
      <c r="D8" s="169" t="s">
        <v>142</v>
      </c>
      <c r="E8" s="171">
        <f t="shared" si="2"/>
        <v>45841</v>
      </c>
      <c r="F8" s="1">
        <f>VLOOKUP(Inv_Sy[[#This Row],[Date]],RD[#All],F$1,0)/F$2</f>
        <v>2.6990327380952381</v>
      </c>
      <c r="G8" s="1">
        <f>VLOOKUP(Inv_Sy[[#This Row],[Date]],RD[#All],G$1,0)/G$2</f>
        <v>2.6888020833333335</v>
      </c>
      <c r="H8" s="1">
        <f>VLOOKUP(Inv_Sy[[#This Row],[Date]],RD[#All],H$1,0)/H$2</f>
        <v>2.6990327380952381</v>
      </c>
      <c r="I8" s="1">
        <f>VLOOKUP(Inv_Sy[[#This Row],[Date]],RD[#All],I$1,0)/I$2</f>
        <v>2.6845746845746845</v>
      </c>
      <c r="J8" s="1">
        <f>VLOOKUP(Inv_Sy[[#This Row],[Date]],RD[#All],J$1,0)/J$2</f>
        <v>2.6802884615384617</v>
      </c>
      <c r="K8" s="1">
        <f>VLOOKUP(Inv_Sy[[#This Row],[Date]],RD[#All],K$1,0)/K$2</f>
        <v>2.6970560303893638</v>
      </c>
      <c r="L8" s="1">
        <f>VLOOKUP(Inv_Sy[[#This Row],[Date]],RD[#All],L$1,0)/L$2</f>
        <v>2.7675941080196398</v>
      </c>
      <c r="M8" s="1">
        <f>VLOOKUP(Inv_Sy[[#This Row],[Date]],RD[#All],M$1,0)/M$2</f>
        <v>2.8199404761904763</v>
      </c>
      <c r="N8" s="1">
        <f>VLOOKUP(Inv_Sy[[#This Row],[Date]],RD[#All],N$1,0)/N$2</f>
        <v>2.7242225859247138</v>
      </c>
      <c r="O8" s="1">
        <f>VLOOKUP(Inv_Sy[[#This Row],[Date]],RD[#All],O$1,0)/O$2</f>
        <v>2.7790178571428572</v>
      </c>
      <c r="P8" s="1">
        <f>AVERAGEIFS(Inv_Sy[[#This Row],[G1 Inv1]:[G5 Inv10]],Inv_Sy[[#This Row],[G1 Inv1]:[G5 Inv10]],"&lt;&gt;"&amp;0)</f>
        <v>2.7239561763304008</v>
      </c>
      <c r="Q8" s="1">
        <f>VLOOKUP(Inv_Sy[[#This Row],[Date]],RD[#All],Q$1,0)/Q$2</f>
        <v>3.0086205447915448</v>
      </c>
      <c r="R8" s="1">
        <f>VLOOKUP(Inv_Sy[[#This Row],[Date]],RD[#All],R$1,0)/R$2</f>
        <v>2.9203916560238401</v>
      </c>
      <c r="S8" s="1">
        <f>VLOOKUP(Inv_Sy[[#This Row],[Date]],RD[#All],S$1,0)/S$2</f>
        <v>3.0745642960056787</v>
      </c>
      <c r="T8" s="1">
        <f>VLOOKUP(Inv_Sy[[#This Row],[Date]],RD[#All],T$1,0)/T$2</f>
        <v>2.9883527725953352</v>
      </c>
      <c r="U8" s="1">
        <f>VLOOKUP(Inv_Sy[[#This Row],[Date]],RD[#All],U$1,0)/U$2</f>
        <v>2.9657356284507954</v>
      </c>
      <c r="V8" s="1">
        <f>VLOOKUP(Inv_Sy[[#This Row],[Date]],RD[#All],V$1,0)/V$2</f>
        <v>2.9884778552242928</v>
      </c>
      <c r="W8" s="1">
        <f>VLOOKUP(Inv_Sy[[#This Row],[Date]],RD[#All],W$1,0)/W$2</f>
        <v>2.9764196832348953</v>
      </c>
      <c r="X8" s="1">
        <f>VLOOKUP(Inv_Sy[[#This Row],[Date]],RD[#All],X$1,0)/X$2</f>
        <v>2.9522784180348594</v>
      </c>
      <c r="Y8" s="1">
        <f>VLOOKUP(Inv_Sy[[#This Row],[Date]],RD[#All],Y$1,0)/Y$2</f>
        <v>2.9608819443489258</v>
      </c>
      <c r="Z8" s="1">
        <f>VLOOKUP(Inv_Sy[[#This Row],[Date]],RD[#All],Z$1,0)/Z$2</f>
        <v>2.9783909767640044</v>
      </c>
      <c r="AA8" s="1">
        <f t="shared" si="1"/>
        <v>2.9814113775474169</v>
      </c>
      <c r="AB8" s="1">
        <f>MAX(Inv_Sy[[#This Row],[G1 Inv1]:[IS1_Inv2]])</f>
        <v>3.0745642960056787</v>
      </c>
      <c r="AC8"/>
    </row>
    <row r="9" spans="1:29" ht="15" customHeight="1" x14ac:dyDescent="0.35">
      <c r="A9" s="321" t="s">
        <v>141</v>
      </c>
      <c r="B9" s="321"/>
      <c r="C9" s="67">
        <f>YEAR(RD[[#This Row],[Month Year]])</f>
        <v>2025</v>
      </c>
      <c r="D9" s="169" t="s">
        <v>142</v>
      </c>
      <c r="E9" s="171">
        <f t="shared" si="2"/>
        <v>45842</v>
      </c>
      <c r="F9" s="1">
        <f>VLOOKUP(Inv_Sy[[#This Row],[Date]],RD[#All],F$1,0)/F$2</f>
        <v>3.216145833333333</v>
      </c>
      <c r="G9" s="1">
        <f>VLOOKUP(Inv_Sy[[#This Row],[Date]],RD[#All],G$1,0)/G$2</f>
        <v>3.212076822916667</v>
      </c>
      <c r="H9" s="1">
        <f>VLOOKUP(Inv_Sy[[#This Row],[Date]],RD[#All],H$1,0)/H$2</f>
        <v>3.2021949404761902</v>
      </c>
      <c r="I9" s="1">
        <f>VLOOKUP(Inv_Sy[[#This Row],[Date]],RD[#All],I$1,0)/I$2</f>
        <v>3.1949531949531949</v>
      </c>
      <c r="J9" s="1">
        <f>VLOOKUP(Inv_Sy[[#This Row],[Date]],RD[#All],J$1,0)/J$2</f>
        <v>3.1907051282051282</v>
      </c>
      <c r="K9" s="1">
        <f>VLOOKUP(Inv_Sy[[#This Row],[Date]],RD[#All],K$1,0)/K$2</f>
        <v>3.2222222222222223</v>
      </c>
      <c r="L9" s="1">
        <f>VLOOKUP(Inv_Sy[[#This Row],[Date]],RD[#All],L$1,0)/L$2</f>
        <v>3.2839607201309331</v>
      </c>
      <c r="M9" s="1">
        <f>VLOOKUP(Inv_Sy[[#This Row],[Date]],RD[#All],M$1,0)/M$2</f>
        <v>3.3621651785714284</v>
      </c>
      <c r="N9" s="1">
        <f>VLOOKUP(Inv_Sy[[#This Row],[Date]],RD[#All],N$1,0)/N$2</f>
        <v>3.2725040916530279</v>
      </c>
      <c r="O9" s="1">
        <f>VLOOKUP(Inv_Sy[[#This Row],[Date]],RD[#All],O$1,0)/O$2</f>
        <v>3.3761160714285712</v>
      </c>
      <c r="P9" s="1">
        <f>AVERAGEIFS(Inv_Sy[[#This Row],[G1 Inv1]:[G5 Inv10]],Inv_Sy[[#This Row],[G1 Inv1]:[G5 Inv10]],"&lt;&gt;"&amp;0)</f>
        <v>3.2533044203890698</v>
      </c>
      <c r="Q9" s="1">
        <f>VLOOKUP(Inv_Sy[[#This Row],[Date]],RD[#All],Q$1,0)/Q$2</f>
        <v>3.7648927053050802</v>
      </c>
      <c r="R9" s="1">
        <f>VLOOKUP(Inv_Sy[[#This Row],[Date]],RD[#All],R$1,0)/R$2</f>
        <v>3.6615417362543807</v>
      </c>
      <c r="S9" s="1">
        <f>VLOOKUP(Inv_Sy[[#This Row],[Date]],RD[#All],S$1,0)/S$2</f>
        <v>3.8440244809147162</v>
      </c>
      <c r="T9" s="1">
        <f>VLOOKUP(Inv_Sy[[#This Row],[Date]],RD[#All],T$1,0)/T$2</f>
        <v>3.7241734061097929</v>
      </c>
      <c r="U9" s="1">
        <f>VLOOKUP(Inv_Sy[[#This Row],[Date]],RD[#All],U$1,0)/U$2</f>
        <v>3.7153296524845727</v>
      </c>
      <c r="V9" s="1">
        <f>VLOOKUP(Inv_Sy[[#This Row],[Date]],RD[#All],V$1,0)/V$2</f>
        <v>3.7436511057744606</v>
      </c>
      <c r="W9" s="1">
        <f>VLOOKUP(Inv_Sy[[#This Row],[Date]],RD[#All],W$1,0)/W$2</f>
        <v>3.7275054849778768</v>
      </c>
      <c r="X9" s="1">
        <f>VLOOKUP(Inv_Sy[[#This Row],[Date]],RD[#All],X$1,0)/X$2</f>
        <v>3.6837211578458002</v>
      </c>
      <c r="Y9" s="1">
        <f>VLOOKUP(Inv_Sy[[#This Row],[Date]],RD[#All],Y$1,0)/Y$2</f>
        <v>3.5806637965420949</v>
      </c>
      <c r="Z9" s="1">
        <f>VLOOKUP(Inv_Sy[[#This Row],[Date]],RD[#All],Z$1,0)/Z$2</f>
        <v>3.5044451187624679</v>
      </c>
      <c r="AA9" s="1">
        <f t="shared" si="1"/>
        <v>3.6949948644971244</v>
      </c>
      <c r="AB9" s="1">
        <f>MAX(Inv_Sy[[#This Row],[G1 Inv1]:[IS1_Inv2]])</f>
        <v>3.8440244809147162</v>
      </c>
      <c r="AC9"/>
    </row>
    <row r="10" spans="1:29" ht="15" customHeight="1" x14ac:dyDescent="0.35">
      <c r="A10" s="321" t="s">
        <v>141</v>
      </c>
      <c r="B10" s="321"/>
      <c r="C10" s="67">
        <f>YEAR(RD[[#This Row],[Month Year]])</f>
        <v>2025</v>
      </c>
      <c r="D10" s="169" t="s">
        <v>142</v>
      </c>
      <c r="E10" s="171">
        <f t="shared" si="2"/>
        <v>45843</v>
      </c>
      <c r="F10" s="1">
        <f>VLOOKUP(Inv_Sy[[#This Row],[Date]],RD[#All],F$1,0)/F$2</f>
        <v>3.1110491071428572</v>
      </c>
      <c r="G10" s="1">
        <f>VLOOKUP(Inv_Sy[[#This Row],[Date]],RD[#All],G$1,0)/G$2</f>
        <v>3.109537760416667</v>
      </c>
      <c r="H10" s="1">
        <f>VLOOKUP(Inv_Sy[[#This Row],[Date]],RD[#All],H$1,0)/H$2</f>
        <v>3.1129092261904763</v>
      </c>
      <c r="I10" s="1">
        <f>VLOOKUP(Inv_Sy[[#This Row],[Date]],RD[#All],I$1,0)/I$2</f>
        <v>3.0866910866910868</v>
      </c>
      <c r="J10" s="1">
        <f>VLOOKUP(Inv_Sy[[#This Row],[Date]],RD[#All],J$1,0)/J$2</f>
        <v>3.1073717948717947</v>
      </c>
      <c r="K10" s="1">
        <f>VLOOKUP(Inv_Sy[[#This Row],[Date]],RD[#All],K$1,0)/K$2</f>
        <v>3.0978157644824313</v>
      </c>
      <c r="L10" s="1">
        <f>VLOOKUP(Inv_Sy[[#This Row],[Date]],RD[#All],L$1,0)/L$2</f>
        <v>3.1890343698854338</v>
      </c>
      <c r="M10" s="1">
        <f>VLOOKUP(Inv_Sy[[#This Row],[Date]],RD[#All],M$1,0)/M$2</f>
        <v>3.2570684523809521</v>
      </c>
      <c r="N10" s="1">
        <f>VLOOKUP(Inv_Sy[[#This Row],[Date]],RD[#All],N$1,0)/N$2</f>
        <v>3.1440261865793779</v>
      </c>
      <c r="O10" s="1">
        <f>VLOOKUP(Inv_Sy[[#This Row],[Date]],RD[#All],O$1,0)/O$2</f>
        <v>3.2263764880952381</v>
      </c>
      <c r="P10" s="1">
        <f>AVERAGEIFS(Inv_Sy[[#This Row],[G1 Inv1]:[G5 Inv10]],Inv_Sy[[#This Row],[G1 Inv1]:[G5 Inv10]],"&lt;&gt;"&amp;0)</f>
        <v>3.1441880236736313</v>
      </c>
      <c r="Q10" s="1">
        <f>VLOOKUP(Inv_Sy[[#This Row],[Date]],RD[#All],Q$1,0)/Q$2</f>
        <v>3.4263724814733911</v>
      </c>
      <c r="R10" s="1">
        <f>VLOOKUP(Inv_Sy[[#This Row],[Date]],RD[#All],R$1,0)/R$2</f>
        <v>3.3601041359662056</v>
      </c>
      <c r="S10" s="1">
        <f>VLOOKUP(Inv_Sy[[#This Row],[Date]],RD[#All],S$1,0)/S$2</f>
        <v>3.5581337713126358</v>
      </c>
      <c r="T10" s="1">
        <f>VLOOKUP(Inv_Sy[[#This Row],[Date]],RD[#All],T$1,0)/T$2</f>
        <v>3.4674690040048826</v>
      </c>
      <c r="U10" s="1">
        <f>VLOOKUP(Inv_Sy[[#This Row],[Date]],RD[#All],U$1,0)/U$2</f>
        <v>3.4253004222150047</v>
      </c>
      <c r="V10" s="1">
        <f>VLOOKUP(Inv_Sy[[#This Row],[Date]],RD[#All],V$1,0)/V$2</f>
        <v>3.4277753139930884</v>
      </c>
      <c r="W10" s="1">
        <f>VLOOKUP(Inv_Sy[[#This Row],[Date]],RD[#All],W$1,0)/W$2</f>
        <v>3.3977148299962145</v>
      </c>
      <c r="X10" s="1">
        <f>VLOOKUP(Inv_Sy[[#This Row],[Date]],RD[#All],X$1,0)/X$2</f>
        <v>3.3417341587348193</v>
      </c>
      <c r="Y10" s="1">
        <f>VLOOKUP(Inv_Sy[[#This Row],[Date]],RD[#All],Y$1,0)/Y$2</f>
        <v>3.4558408868960004</v>
      </c>
      <c r="Z10" s="1">
        <f>VLOOKUP(Inv_Sy[[#This Row],[Date]],RD[#All],Z$1,0)/Z$2</f>
        <v>3.3447178301880696</v>
      </c>
      <c r="AA10" s="1">
        <f t="shared" si="1"/>
        <v>3.4205162834780309</v>
      </c>
      <c r="AB10" s="1">
        <f>MAX(Inv_Sy[[#This Row],[G1 Inv1]:[IS1_Inv2]])</f>
        <v>3.5581337713126358</v>
      </c>
      <c r="AC10"/>
    </row>
    <row r="11" spans="1:29" ht="15" customHeight="1" x14ac:dyDescent="0.35">
      <c r="A11" s="321" t="s">
        <v>141</v>
      </c>
      <c r="B11" s="321"/>
      <c r="C11" s="67">
        <f>YEAR(RD[[#This Row],[Month Year]])</f>
        <v>2025</v>
      </c>
      <c r="D11" s="169" t="s">
        <v>142</v>
      </c>
      <c r="E11" s="171">
        <f t="shared" si="2"/>
        <v>45844</v>
      </c>
      <c r="F11" s="1">
        <f>VLOOKUP(Inv_Sy[[#This Row],[Date]],RD[#All],F$1,0)/F$2</f>
        <v>2.6050967261904763</v>
      </c>
      <c r="G11" s="1">
        <f>VLOOKUP(Inv_Sy[[#This Row],[Date]],RD[#All],G$1,0)/G$2</f>
        <v>2.6082356770833335</v>
      </c>
      <c r="H11" s="1">
        <f>VLOOKUP(Inv_Sy[[#This Row],[Date]],RD[#All],H$1,0)/H$2</f>
        <v>2.6190476190476191</v>
      </c>
      <c r="I11" s="1">
        <f>VLOOKUP(Inv_Sy[[#This Row],[Date]],RD[#All],I$1,0)/I$2</f>
        <v>2.6056166056166057</v>
      </c>
      <c r="J11" s="1">
        <f>VLOOKUP(Inv_Sy[[#This Row],[Date]],RD[#All],J$1,0)/J$2</f>
        <v>2.6065705128205128</v>
      </c>
      <c r="K11" s="1">
        <f>VLOOKUP(Inv_Sy[[#This Row],[Date]],RD[#All],K$1,0)/K$2</f>
        <v>2.6049382716049383</v>
      </c>
      <c r="L11" s="1">
        <f>VLOOKUP(Inv_Sy[[#This Row],[Date]],RD[#All],L$1,0)/L$2</f>
        <v>2.6456628477905073</v>
      </c>
      <c r="M11" s="1">
        <f>VLOOKUP(Inv_Sy[[#This Row],[Date]],RD[#All],M$1,0)/M$2</f>
        <v>2.7036830357142856</v>
      </c>
      <c r="N11" s="1">
        <f>VLOOKUP(Inv_Sy[[#This Row],[Date]],RD[#All],N$1,0)/N$2</f>
        <v>2.6276595744680851</v>
      </c>
      <c r="O11" s="1">
        <f>VLOOKUP(Inv_Sy[[#This Row],[Date]],RD[#All],O$1,0)/O$2</f>
        <v>2.6943824404761902</v>
      </c>
      <c r="P11" s="1">
        <f>AVERAGEIFS(Inv_Sy[[#This Row],[G1 Inv1]:[G5 Inv10]],Inv_Sy[[#This Row],[G1 Inv1]:[G5 Inv10]],"&lt;&gt;"&amp;0)</f>
        <v>2.632089331081255</v>
      </c>
      <c r="Q11" s="1">
        <f>VLOOKUP(Inv_Sy[[#This Row],[Date]],RD[#All],Q$1,0)/Q$2</f>
        <v>2.8658690282142203</v>
      </c>
      <c r="R11" s="1">
        <f>VLOOKUP(Inv_Sy[[#This Row],[Date]],RD[#All],R$1,0)/R$2</f>
        <v>2.8024200150636935</v>
      </c>
      <c r="S11" s="1">
        <f>VLOOKUP(Inv_Sy[[#This Row],[Date]],RD[#All],S$1,0)/S$2</f>
        <v>2.9661056106996884</v>
      </c>
      <c r="T11" s="1">
        <f>VLOOKUP(Inv_Sy[[#This Row],[Date]],RD[#All],T$1,0)/T$2</f>
        <v>2.8890676094402554</v>
      </c>
      <c r="U11" s="1">
        <f>VLOOKUP(Inv_Sy[[#This Row],[Date]],RD[#All],U$1,0)/U$2</f>
        <v>2.8544982137057482</v>
      </c>
      <c r="V11" s="1">
        <f>VLOOKUP(Inv_Sy[[#This Row],[Date]],RD[#All],V$1,0)/V$2</f>
        <v>2.8600356458509402</v>
      </c>
      <c r="W11" s="1">
        <f>VLOOKUP(Inv_Sy[[#This Row],[Date]],RD[#All],W$1,0)/W$2</f>
        <v>2.8398956327771696</v>
      </c>
      <c r="X11" s="1">
        <f>VLOOKUP(Inv_Sy[[#This Row],[Date]],RD[#All],X$1,0)/X$2</f>
        <v>2.8015529292781003</v>
      </c>
      <c r="Y11" s="1">
        <f>VLOOKUP(Inv_Sy[[#This Row],[Date]],RD[#All],Y$1,0)/Y$2</f>
        <v>2.8518768138866339</v>
      </c>
      <c r="Z11" s="1">
        <f>VLOOKUP(Inv_Sy[[#This Row],[Date]],RD[#All],Z$1,0)/Z$2</f>
        <v>2.7242089496348991</v>
      </c>
      <c r="AA11" s="1">
        <f t="shared" si="1"/>
        <v>2.8455530448551345</v>
      </c>
      <c r="AB11" s="1">
        <f>MAX(Inv_Sy[[#This Row],[G1 Inv1]:[IS1_Inv2]])</f>
        <v>2.9661056106996884</v>
      </c>
      <c r="AC11"/>
    </row>
    <row r="12" spans="1:29" ht="15" customHeight="1" x14ac:dyDescent="0.35">
      <c r="A12" s="321" t="s">
        <v>141</v>
      </c>
      <c r="B12" s="321"/>
      <c r="C12" s="67">
        <f>YEAR(RD[[#This Row],[Month Year]])</f>
        <v>2025</v>
      </c>
      <c r="D12" s="169" t="s">
        <v>142</v>
      </c>
      <c r="E12" s="171">
        <f t="shared" si="2"/>
        <v>45845</v>
      </c>
      <c r="F12" s="1">
        <f>VLOOKUP(Inv_Sy[[#This Row],[Date]],RD[#All],F$1,0)/F$2</f>
        <v>1.4322916666666665</v>
      </c>
      <c r="G12" s="1">
        <f>VLOOKUP(Inv_Sy[[#This Row],[Date]],RD[#All],G$1,0)/G$2</f>
        <v>1.4314778645833335</v>
      </c>
      <c r="H12" s="1">
        <f>VLOOKUP(Inv_Sy[[#This Row],[Date]],RD[#All],H$1,0)/H$2</f>
        <v>1.4322916666666665</v>
      </c>
      <c r="I12" s="1">
        <f>VLOOKUP(Inv_Sy[[#This Row],[Date]],RD[#All],I$1,0)/I$2</f>
        <v>1.4318274318274318</v>
      </c>
      <c r="J12" s="1">
        <f>VLOOKUP(Inv_Sy[[#This Row],[Date]],RD[#All],J$1,0)/J$2</f>
        <v>1.4326923076923077</v>
      </c>
      <c r="K12" s="1">
        <f>VLOOKUP(Inv_Sy[[#This Row],[Date]],RD[#All],K$1,0)/K$2</f>
        <v>1.4529914529914529</v>
      </c>
      <c r="L12" s="1">
        <f>VLOOKUP(Inv_Sy[[#This Row],[Date]],RD[#All],L$1,0)/L$2</f>
        <v>1.4599018003273323</v>
      </c>
      <c r="M12" s="1">
        <f>VLOOKUP(Inv_Sy[[#This Row],[Date]],RD[#All],M$1,0)/M$2</f>
        <v>1.4834449404761905</v>
      </c>
      <c r="N12" s="1">
        <f>VLOOKUP(Inv_Sy[[#This Row],[Date]],RD[#All],N$1,0)/N$2</f>
        <v>1.4500818330605565</v>
      </c>
      <c r="O12" s="1">
        <f>VLOOKUP(Inv_Sy[[#This Row],[Date]],RD[#All],O$1,0)/O$2</f>
        <v>1.470424107142857</v>
      </c>
      <c r="P12" s="1">
        <f>AVERAGEIFS(Inv_Sy[[#This Row],[G1 Inv1]:[G5 Inv10]],Inv_Sy[[#This Row],[G1 Inv1]:[G5 Inv10]],"&lt;&gt;"&amp;0)</f>
        <v>1.4477425071434795</v>
      </c>
      <c r="Q12" s="1">
        <f>VLOOKUP(Inv_Sy[[#This Row],[Date]],RD[#All],Q$1,0)/Q$2</f>
        <v>1.5122082374094676</v>
      </c>
      <c r="R12" s="1">
        <f>VLOOKUP(Inv_Sy[[#This Row],[Date]],RD[#All],R$1,0)/R$2</f>
        <v>1.4758325965222521</v>
      </c>
      <c r="S12" s="1">
        <f>VLOOKUP(Inv_Sy[[#This Row],[Date]],RD[#All],S$1,0)/S$2</f>
        <v>1.5581589747251778</v>
      </c>
      <c r="T12" s="1">
        <f>VLOOKUP(Inv_Sy[[#This Row],[Date]],RD[#All],T$1,0)/T$2</f>
        <v>1.5155684198064101</v>
      </c>
      <c r="U12" s="1">
        <f>VLOOKUP(Inv_Sy[[#This Row],[Date]],RD[#All],U$1,0)/U$2</f>
        <v>1.5043845404352061</v>
      </c>
      <c r="V12" s="1">
        <f>VLOOKUP(Inv_Sy[[#This Row],[Date]],RD[#All],V$1,0)/V$2</f>
        <v>1.5081709327330999</v>
      </c>
      <c r="W12" s="1">
        <f>VLOOKUP(Inv_Sy[[#This Row],[Date]],RD[#All],W$1,0)/W$2</f>
        <v>1.5069747752074929</v>
      </c>
      <c r="X12" s="1">
        <f>VLOOKUP(Inv_Sy[[#This Row],[Date]],RD[#All],X$1,0)/X$2</f>
        <v>1.4852333064180676</v>
      </c>
      <c r="Y12" s="1">
        <f>VLOOKUP(Inv_Sy[[#This Row],[Date]],RD[#All],Y$1,0)/Y$2</f>
        <v>1.5173376614445069</v>
      </c>
      <c r="Z12" s="1">
        <f>VLOOKUP(Inv_Sy[[#This Row],[Date]],RD[#All],Z$1,0)/Z$2</f>
        <v>1.4562686827340867</v>
      </c>
      <c r="AA12" s="1">
        <f t="shared" si="1"/>
        <v>1.5040138127435767</v>
      </c>
      <c r="AB12" s="1">
        <f>MAX(Inv_Sy[[#This Row],[G1 Inv1]:[IS1_Inv2]])</f>
        <v>1.5581589747251778</v>
      </c>
      <c r="AC12"/>
    </row>
    <row r="13" spans="1:29" ht="15" customHeight="1" x14ac:dyDescent="0.35">
      <c r="A13" s="321" t="s">
        <v>141</v>
      </c>
      <c r="B13" s="321"/>
      <c r="C13" s="67">
        <f>YEAR(RD[[#This Row],[Month Year]])</f>
        <v>2025</v>
      </c>
      <c r="D13" s="169" t="s">
        <v>142</v>
      </c>
      <c r="E13" s="171">
        <f t="shared" si="2"/>
        <v>45846</v>
      </c>
      <c r="F13" s="1">
        <f>VLOOKUP(Inv_Sy[[#This Row],[Date]],RD[#All],F$1,0)/F$2</f>
        <v>2.0070684523809521</v>
      </c>
      <c r="G13" s="1">
        <f>VLOOKUP(Inv_Sy[[#This Row],[Date]],RD[#All],G$1,0)/G$2</f>
        <v>1.9661458333333335</v>
      </c>
      <c r="H13" s="1">
        <f>VLOOKUP(Inv_Sy[[#This Row],[Date]],RD[#All],H$1,0)/H$2</f>
        <v>1.9996279761904761</v>
      </c>
      <c r="I13" s="1">
        <f>VLOOKUP(Inv_Sy[[#This Row],[Date]],RD[#All],I$1,0)/I$2</f>
        <v>1.982905982905983</v>
      </c>
      <c r="J13" s="1">
        <f>VLOOKUP(Inv_Sy[[#This Row],[Date]],RD[#All],J$1,0)/J$2</f>
        <v>1.8693910256410255</v>
      </c>
      <c r="K13" s="1">
        <f>VLOOKUP(Inv_Sy[[#This Row],[Date]],RD[#All],K$1,0)/K$2</f>
        <v>1.8945868945868947</v>
      </c>
      <c r="L13" s="1">
        <f>VLOOKUP(Inv_Sy[[#This Row],[Date]],RD[#All],L$1,0)/L$2</f>
        <v>2.0286415711947625</v>
      </c>
      <c r="M13" s="1">
        <f>VLOOKUP(Inv_Sy[[#This Row],[Date]],RD[#All],M$1,0)/M$2</f>
        <v>2.0665922619047619</v>
      </c>
      <c r="N13" s="1">
        <f>VLOOKUP(Inv_Sy[[#This Row],[Date]],RD[#All],N$1,0)/N$2</f>
        <v>2.0302782324058919</v>
      </c>
      <c r="O13" s="1">
        <f>VLOOKUP(Inv_Sy[[#This Row],[Date]],RD[#All],O$1,0)/O$2</f>
        <v>2.063802083333333</v>
      </c>
      <c r="P13" s="1">
        <f>AVERAGEIFS(Inv_Sy[[#This Row],[G1 Inv1]:[G5 Inv10]],Inv_Sy[[#This Row],[G1 Inv1]:[G5 Inv10]],"&lt;&gt;"&amp;0)</f>
        <v>1.9909040313877413</v>
      </c>
      <c r="Q13" s="1">
        <f>VLOOKUP(Inv_Sy[[#This Row],[Date]],RD[#All],Q$1,0)/Q$2</f>
        <v>2.1994152145053691</v>
      </c>
      <c r="R13" s="1">
        <f>VLOOKUP(Inv_Sy[[#This Row],[Date]],RD[#All],R$1,0)/R$2</f>
        <v>2.1473130955889581</v>
      </c>
      <c r="S13" s="1">
        <f>VLOOKUP(Inv_Sy[[#This Row],[Date]],RD[#All],S$1,0)/S$2</f>
        <v>2.2654507420304708</v>
      </c>
      <c r="T13" s="1">
        <f>VLOOKUP(Inv_Sy[[#This Row],[Date]],RD[#All],T$1,0)/T$2</f>
        <v>2.2032161534347683</v>
      </c>
      <c r="U13" s="1">
        <f>VLOOKUP(Inv_Sy[[#This Row],[Date]],RD[#All],U$1,0)/U$2</f>
        <v>2.1856122117570638</v>
      </c>
      <c r="V13" s="1">
        <f>VLOOKUP(Inv_Sy[[#This Row],[Date]],RD[#All],V$1,0)/V$2</f>
        <v>2.191801454283778</v>
      </c>
      <c r="W13" s="1">
        <f>VLOOKUP(Inv_Sy[[#This Row],[Date]],RD[#All],W$1,0)/W$2</f>
        <v>2.1824309747589257</v>
      </c>
      <c r="X13" s="1">
        <f>VLOOKUP(Inv_Sy[[#This Row],[Date]],RD[#All],X$1,0)/X$2</f>
        <v>2.1512637940737478</v>
      </c>
      <c r="Y13" s="1">
        <f>VLOOKUP(Inv_Sy[[#This Row],[Date]],RD[#All],Y$1,0)/Y$2</f>
        <v>2.163459554626356</v>
      </c>
      <c r="Z13" s="1">
        <f>VLOOKUP(Inv_Sy[[#This Row],[Date]],RD[#All],Z$1,0)/Z$2</f>
        <v>2.063154904479982</v>
      </c>
      <c r="AA13" s="1">
        <f t="shared" si="1"/>
        <v>2.1753118099539424</v>
      </c>
      <c r="AB13" s="1">
        <f>MAX(Inv_Sy[[#This Row],[G1 Inv1]:[IS1_Inv2]])</f>
        <v>2.2654507420304708</v>
      </c>
      <c r="AC13"/>
    </row>
    <row r="14" spans="1:29" ht="15" customHeight="1" x14ac:dyDescent="0.35">
      <c r="A14" s="321" t="s">
        <v>141</v>
      </c>
      <c r="B14" s="321"/>
      <c r="C14" s="67">
        <f>YEAR(RD[[#This Row],[Month Year]])</f>
        <v>2025</v>
      </c>
      <c r="D14" s="169" t="s">
        <v>142</v>
      </c>
      <c r="E14" s="171">
        <f t="shared" si="2"/>
        <v>45847</v>
      </c>
      <c r="F14" s="1">
        <f>VLOOKUP(Inv_Sy[[#This Row],[Date]],RD[#All],F$1,0)/F$2</f>
        <v>1.89453125</v>
      </c>
      <c r="G14" s="1">
        <f>VLOOKUP(Inv_Sy[[#This Row],[Date]],RD[#All],G$1,0)/G$2</f>
        <v>1.884765625</v>
      </c>
      <c r="H14" s="1">
        <f>VLOOKUP(Inv_Sy[[#This Row],[Date]],RD[#All],H$1,0)/H$2</f>
        <v>1.8954613095238095</v>
      </c>
      <c r="I14" s="1">
        <f>VLOOKUP(Inv_Sy[[#This Row],[Date]],RD[#All],I$1,0)/I$2</f>
        <v>1.8860398860398861</v>
      </c>
      <c r="J14" s="1">
        <f>VLOOKUP(Inv_Sy[[#This Row],[Date]],RD[#All],J$1,0)/J$2</f>
        <v>1.8886217948717949</v>
      </c>
      <c r="K14" s="1">
        <f>VLOOKUP(Inv_Sy[[#This Row],[Date]],RD[#All],K$1,0)/K$2</f>
        <v>1.895536562203229</v>
      </c>
      <c r="L14" s="1">
        <f>VLOOKUP(Inv_Sy[[#This Row],[Date]],RD[#All],L$1,0)/L$2</f>
        <v>1.9320785597381342</v>
      </c>
      <c r="M14" s="1">
        <f>VLOOKUP(Inv_Sy[[#This Row],[Date]],RD[#All],M$1,0)/M$2</f>
        <v>1.9698660714285714</v>
      </c>
      <c r="N14" s="1">
        <f>VLOOKUP(Inv_Sy[[#This Row],[Date]],RD[#All],N$1,0)/N$2</f>
        <v>1.927986906710311</v>
      </c>
      <c r="O14" s="1">
        <f>VLOOKUP(Inv_Sy[[#This Row],[Date]],RD[#All],O$1,0)/O$2</f>
        <v>1.9707961309523809</v>
      </c>
      <c r="P14" s="1">
        <f>AVERAGEIFS(Inv_Sy[[#This Row],[G1 Inv1]:[G5 Inv10]],Inv_Sy[[#This Row],[G1 Inv1]:[G5 Inv10]],"&lt;&gt;"&amp;0)</f>
        <v>1.9145684096468116</v>
      </c>
      <c r="Q14" s="1">
        <f>VLOOKUP(Inv_Sy[[#This Row],[Date]],RD[#All],Q$1,0)/Q$2</f>
        <v>2.1108571812666996</v>
      </c>
      <c r="R14" s="1">
        <f>VLOOKUP(Inv_Sy[[#This Row],[Date]],RD[#All],R$1,0)/R$2</f>
        <v>2.0598781805678361</v>
      </c>
      <c r="S14" s="1">
        <f>VLOOKUP(Inv_Sy[[#This Row],[Date]],RD[#All],S$1,0)/S$2</f>
        <v>2.1734582862519582</v>
      </c>
      <c r="T14" s="1">
        <f>VLOOKUP(Inv_Sy[[#This Row],[Date]],RD[#All],T$1,0)/T$2</f>
        <v>2.1125857824626149</v>
      </c>
      <c r="U14" s="1">
        <f>VLOOKUP(Inv_Sy[[#This Row],[Date]],RD[#All],U$1,0)/U$2</f>
        <v>2.0955667424488467</v>
      </c>
      <c r="V14" s="1">
        <f>VLOOKUP(Inv_Sy[[#This Row],[Date]],RD[#All],V$1,0)/V$2</f>
        <v>2.1034399082914259</v>
      </c>
      <c r="W14" s="1">
        <f>VLOOKUP(Inv_Sy[[#This Row],[Date]],RD[#All],W$1,0)/W$2</f>
        <v>2.0957296547007993</v>
      </c>
      <c r="X14" s="1">
        <f>VLOOKUP(Inv_Sy[[#This Row],[Date]],RD[#All],X$1,0)/X$2</f>
        <v>2.0660321188839137</v>
      </c>
      <c r="Y14" s="1">
        <f>VLOOKUP(Inv_Sy[[#This Row],[Date]],RD[#All],Y$1,0)/Y$2</f>
        <v>2.0739171698554388</v>
      </c>
      <c r="Z14" s="1">
        <f>VLOOKUP(Inv_Sy[[#This Row],[Date]],RD[#All],Z$1,0)/Z$2</f>
        <v>1.977480647431386</v>
      </c>
      <c r="AA14" s="1">
        <f t="shared" si="1"/>
        <v>2.0868945672160915</v>
      </c>
      <c r="AB14" s="1">
        <f>MAX(Inv_Sy[[#This Row],[G1 Inv1]:[IS1_Inv2]])</f>
        <v>2.1734582862519582</v>
      </c>
      <c r="AC14"/>
    </row>
    <row r="15" spans="1:29" ht="15" customHeight="1" x14ac:dyDescent="0.35">
      <c r="A15" s="321" t="s">
        <v>141</v>
      </c>
      <c r="B15" s="321"/>
      <c r="C15" s="67">
        <f>YEAR(RD[[#This Row],[Month Year]])</f>
        <v>2025</v>
      </c>
      <c r="D15" s="169" t="s">
        <v>142</v>
      </c>
      <c r="E15" s="171">
        <f t="shared" si="2"/>
        <v>45848</v>
      </c>
      <c r="F15" s="1">
        <f>VLOOKUP(Inv_Sy[[#This Row],[Date]],RD[#All],F$1,0)/F$2</f>
        <v>1.5959821428571428</v>
      </c>
      <c r="G15" s="1">
        <f>VLOOKUP(Inv_Sy[[#This Row],[Date]],RD[#All],G$1,0)/G$2</f>
        <v>1.5494791666666667</v>
      </c>
      <c r="H15" s="1">
        <f>VLOOKUP(Inv_Sy[[#This Row],[Date]],RD[#All],H$1,0)/H$2</f>
        <v>1.5792410714285714</v>
      </c>
      <c r="I15" s="1">
        <f>VLOOKUP(Inv_Sy[[#This Row],[Date]],RD[#All],I$1,0)/I$2</f>
        <v>1.3658933658933659</v>
      </c>
      <c r="J15" s="1">
        <f>VLOOKUP(Inv_Sy[[#This Row],[Date]],RD[#All],J$1,0)/J$2</f>
        <v>1.5528846153846154</v>
      </c>
      <c r="K15" s="1">
        <f>VLOOKUP(Inv_Sy[[#This Row],[Date]],RD[#All],K$1,0)/K$2</f>
        <v>1.5830959164292497</v>
      </c>
      <c r="L15" s="1">
        <f>VLOOKUP(Inv_Sy[[#This Row],[Date]],RD[#All],L$1,0)/L$2</f>
        <v>1.2422258592471358</v>
      </c>
      <c r="M15" s="1">
        <f>VLOOKUP(Inv_Sy[[#This Row],[Date]],RD[#All],M$1,0)/M$2</f>
        <v>1.4109002976190474</v>
      </c>
      <c r="N15" s="1">
        <f>VLOOKUP(Inv_Sy[[#This Row],[Date]],RD[#All],N$1,0)/N$2</f>
        <v>1.3527004909983633</v>
      </c>
      <c r="O15" s="1">
        <f>VLOOKUP(Inv_Sy[[#This Row],[Date]],RD[#All],O$1,0)/O$2</f>
        <v>1.3039434523809523</v>
      </c>
      <c r="P15" s="1">
        <f>AVERAGEIFS(Inv_Sy[[#This Row],[G1 Inv1]:[G5 Inv10]],Inv_Sy[[#This Row],[G1 Inv1]:[G5 Inv10]],"&lt;&gt;"&amp;0)</f>
        <v>1.4536346378905107</v>
      </c>
      <c r="Q15" s="1">
        <f>VLOOKUP(Inv_Sy[[#This Row],[Date]],RD[#All],Q$1,0)/Q$2</f>
        <v>1.8444268934110808</v>
      </c>
      <c r="R15" s="1">
        <f>VLOOKUP(Inv_Sy[[#This Row],[Date]],RD[#All],R$1,0)/R$2</f>
        <v>1.7997838687493863</v>
      </c>
      <c r="S15" s="1">
        <f>VLOOKUP(Inv_Sy[[#This Row],[Date]],RD[#All],S$1,0)/S$2</f>
        <v>1.9026056127999729</v>
      </c>
      <c r="T15" s="1">
        <f>VLOOKUP(Inv_Sy[[#This Row],[Date]],RD[#All],T$1,0)/T$2</f>
        <v>1.8530236659576811</v>
      </c>
      <c r="U15" s="1">
        <f>VLOOKUP(Inv_Sy[[#This Row],[Date]],RD[#All],U$1,0)/U$2</f>
        <v>1.8394771029555048</v>
      </c>
      <c r="V15" s="1">
        <f>VLOOKUP(Inv_Sy[[#This Row],[Date]],RD[#All],V$1,0)/V$2</f>
        <v>1.8389410002593947</v>
      </c>
      <c r="W15" s="1">
        <f>VLOOKUP(Inv_Sy[[#This Row],[Date]],RD[#All],W$1,0)/W$2</f>
        <v>1.8294385580715671</v>
      </c>
      <c r="X15" s="1">
        <f>VLOOKUP(Inv_Sy[[#This Row],[Date]],RD[#All],X$1,0)/X$2</f>
        <v>1.8001419168562969</v>
      </c>
      <c r="Y15" s="1">
        <f>VLOOKUP(Inv_Sy[[#This Row],[Date]],RD[#All],Y$1,0)/Y$2</f>
        <v>1.8252341719048728</v>
      </c>
      <c r="Z15" s="1">
        <f>VLOOKUP(Inv_Sy[[#This Row],[Date]],RD[#All],Z$1,0)/Z$2</f>
        <v>1.7393100865781297</v>
      </c>
      <c r="AA15" s="1">
        <f t="shared" si="1"/>
        <v>1.8272382877543887</v>
      </c>
      <c r="AB15" s="1">
        <f>MAX(Inv_Sy[[#This Row],[G1 Inv1]:[IS1_Inv2]])</f>
        <v>1.9026056127999729</v>
      </c>
      <c r="AC15"/>
    </row>
    <row r="16" spans="1:29" ht="15" customHeight="1" x14ac:dyDescent="0.35">
      <c r="A16" s="321" t="s">
        <v>141</v>
      </c>
      <c r="B16" s="321"/>
      <c r="C16" s="67">
        <f>YEAR(RD[[#This Row],[Month Year]])</f>
        <v>2025</v>
      </c>
      <c r="D16" s="169" t="s">
        <v>142</v>
      </c>
      <c r="E16" s="171">
        <f t="shared" si="2"/>
        <v>45849</v>
      </c>
      <c r="F16" s="1">
        <f>VLOOKUP(Inv_Sy[[#This Row],[Date]],RD[#All],F$1,0)/F$2</f>
        <v>3.26171875</v>
      </c>
      <c r="G16" s="1">
        <f>VLOOKUP(Inv_Sy[[#This Row],[Date]],RD[#All],G$1,0)/G$2</f>
        <v>3.207194010416667</v>
      </c>
      <c r="H16" s="1">
        <f>VLOOKUP(Inv_Sy[[#This Row],[Date]],RD[#All],H$1,0)/H$2</f>
        <v>3.2607886904761902</v>
      </c>
      <c r="I16" s="1">
        <f>VLOOKUP(Inv_Sy[[#This Row],[Date]],RD[#All],I$1,0)/I$2</f>
        <v>2.6992266992266991</v>
      </c>
      <c r="J16" s="1">
        <f>VLOOKUP(Inv_Sy[[#This Row],[Date]],RD[#All],J$1,0)/J$2</f>
        <v>3.2628205128205128</v>
      </c>
      <c r="K16" s="1">
        <f>VLOOKUP(Inv_Sy[[#This Row],[Date]],RD[#All],K$1,0)/K$2</f>
        <v>3.2687559354226021</v>
      </c>
      <c r="L16" s="1">
        <f>VLOOKUP(Inv_Sy[[#This Row],[Date]],RD[#All],L$1,0)/L$2</f>
        <v>3.3698854337152211</v>
      </c>
      <c r="M16" s="1">
        <f>VLOOKUP(Inv_Sy[[#This Row],[Date]],RD[#All],M$1,0)/M$2</f>
        <v>3.4170386904761902</v>
      </c>
      <c r="N16" s="1">
        <f>VLOOKUP(Inv_Sy[[#This Row],[Date]],RD[#All],N$1,0)/N$2</f>
        <v>3.3117839607201311</v>
      </c>
      <c r="O16" s="1">
        <f>VLOOKUP(Inv_Sy[[#This Row],[Date]],RD[#All],O$1,0)/O$2</f>
        <v>3.4579613095238093</v>
      </c>
      <c r="P16" s="1">
        <f>AVERAGEIFS(Inv_Sy[[#This Row],[G1 Inv1]:[G5 Inv10]],Inv_Sy[[#This Row],[G1 Inv1]:[G5 Inv10]],"&lt;&gt;"&amp;0)</f>
        <v>3.2517173992798023</v>
      </c>
      <c r="Q16" s="1">
        <f>VLOOKUP(Inv_Sy[[#This Row],[Date]],RD[#All],Q$1,0)/Q$2</f>
        <v>3.8296728225982628</v>
      </c>
      <c r="R16" s="1">
        <f>VLOOKUP(Inv_Sy[[#This Row],[Date]],RD[#All],R$1,0)/R$2</f>
        <v>3.7175393784589192</v>
      </c>
      <c r="S16" s="1">
        <f>VLOOKUP(Inv_Sy[[#This Row],[Date]],RD[#All],S$1,0)/S$2</f>
        <v>3.9424018012038826</v>
      </c>
      <c r="T16" s="1">
        <f>VLOOKUP(Inv_Sy[[#This Row],[Date]],RD[#All],T$1,0)/T$2</f>
        <v>3.5065788667937663</v>
      </c>
      <c r="U16" s="1">
        <f>VLOOKUP(Inv_Sy[[#This Row],[Date]],RD[#All],U$1,0)/U$2</f>
        <v>3.8559597271841501</v>
      </c>
      <c r="V16" s="1">
        <f>VLOOKUP(Inv_Sy[[#This Row],[Date]],RD[#All],V$1,0)/V$2</f>
        <v>3.8666543942297236</v>
      </c>
      <c r="W16" s="1">
        <f>VLOOKUP(Inv_Sy[[#This Row],[Date]],RD[#All],W$1,0)/W$2</f>
        <v>3.8371643376711124</v>
      </c>
      <c r="X16" s="1">
        <f>VLOOKUP(Inv_Sy[[#This Row],[Date]],RD[#All],X$1,0)/X$2</f>
        <v>3.7796373779637382</v>
      </c>
      <c r="Y16" s="1">
        <f>VLOOKUP(Inv_Sy[[#This Row],[Date]],RD[#All],Y$1,0)/Y$2</f>
        <v>3.7220609878546957</v>
      </c>
      <c r="Z16" s="1">
        <f>VLOOKUP(Inv_Sy[[#This Row],[Date]],RD[#All],Z$1,0)/Z$2</f>
        <v>3.5797248352045652</v>
      </c>
      <c r="AA16" s="1">
        <f t="shared" si="1"/>
        <v>3.7637394529162811</v>
      </c>
      <c r="AB16" s="1">
        <f>MAX(Inv_Sy[[#This Row],[G1 Inv1]:[IS1_Inv2]])</f>
        <v>3.9424018012038826</v>
      </c>
      <c r="AC16"/>
    </row>
    <row r="17" spans="1:29" ht="15" customHeight="1" x14ac:dyDescent="0.35">
      <c r="A17" s="321" t="s">
        <v>141</v>
      </c>
      <c r="B17" s="321"/>
      <c r="C17" s="67">
        <f>YEAR(RD[[#This Row],[Month Year]])</f>
        <v>2025</v>
      </c>
      <c r="D17" s="169" t="s">
        <v>142</v>
      </c>
      <c r="E17" s="171">
        <f t="shared" si="2"/>
        <v>45850</v>
      </c>
      <c r="F17" s="1">
        <f>VLOOKUP(Inv_Sy[[#This Row],[Date]],RD[#All],F$1,0)/F$2</f>
        <v>3.5342261904761902</v>
      </c>
      <c r="G17" s="1">
        <f>VLOOKUP(Inv_Sy[[#This Row],[Date]],RD[#All],G$1,0)/G$2</f>
        <v>3.507486979166667</v>
      </c>
      <c r="H17" s="1">
        <f>VLOOKUP(Inv_Sy[[#This Row],[Date]],RD[#All],H$1,0)/H$2</f>
        <v>3.5370163690476191</v>
      </c>
      <c r="I17" s="1">
        <f>VLOOKUP(Inv_Sy[[#This Row],[Date]],RD[#All],I$1,0)/I$2</f>
        <v>3.5335775335775335</v>
      </c>
      <c r="J17" s="1">
        <f>VLOOKUP(Inv_Sy[[#This Row],[Date]],RD[#All],J$1,0)/J$2</f>
        <v>3.5496794871794872</v>
      </c>
      <c r="K17" s="1">
        <f>VLOOKUP(Inv_Sy[[#This Row],[Date]],RD[#All],K$1,0)/K$2</f>
        <v>3.5280151946818612</v>
      </c>
      <c r="L17" s="1">
        <f>VLOOKUP(Inv_Sy[[#This Row],[Date]],RD[#All],L$1,0)/L$2</f>
        <v>3.5949263502454993</v>
      </c>
      <c r="M17" s="1">
        <f>VLOOKUP(Inv_Sy[[#This Row],[Date]],RD[#All],M$1,0)/M$2</f>
        <v>3.6328125</v>
      </c>
      <c r="N17" s="1">
        <f>VLOOKUP(Inv_Sy[[#This Row],[Date]],RD[#All],N$1,0)/N$2</f>
        <v>3.513911620294599</v>
      </c>
      <c r="O17" s="1">
        <f>VLOOKUP(Inv_Sy[[#This Row],[Date]],RD[#All],O$1,0)/O$2</f>
        <v>3.6197916666666665</v>
      </c>
      <c r="P17" s="1">
        <f>AVERAGEIFS(Inv_Sy[[#This Row],[G1 Inv1]:[G5 Inv10]],Inv_Sy[[#This Row],[G1 Inv1]:[G5 Inv10]],"&lt;&gt;"&amp;0)</f>
        <v>3.5551443891336119</v>
      </c>
      <c r="Q17" s="1">
        <f>VLOOKUP(Inv_Sy[[#This Row],[Date]],RD[#All],Q$1,0)/Q$2</f>
        <v>3.9914970844746183</v>
      </c>
      <c r="R17" s="1">
        <f>VLOOKUP(Inv_Sy[[#This Row],[Date]],RD[#All],R$1,0)/R$2</f>
        <v>3.883894947113339</v>
      </c>
      <c r="S17" s="1">
        <f>VLOOKUP(Inv_Sy[[#This Row],[Date]],RD[#All],S$1,0)/S$2</f>
        <v>4.0911859465771663</v>
      </c>
      <c r="T17" s="1">
        <f>VLOOKUP(Inv_Sy[[#This Row],[Date]],RD[#All],T$1,0)/T$2</f>
        <v>3.9233969242828151</v>
      </c>
      <c r="U17" s="1">
        <f>VLOOKUP(Inv_Sy[[#This Row],[Date]],RD[#All],U$1,0)/U$2</f>
        <v>3.9509581032802852</v>
      </c>
      <c r="V17" s="1">
        <f>VLOOKUP(Inv_Sy[[#This Row],[Date]],RD[#All],V$1,0)/V$2</f>
        <v>3.9786961651423742</v>
      </c>
      <c r="W17" s="1">
        <f>VLOOKUP(Inv_Sy[[#This Row],[Date]],RD[#All],W$1,0)/W$2</f>
        <v>3.9479629260270848</v>
      </c>
      <c r="X17" s="1">
        <f>VLOOKUP(Inv_Sy[[#This Row],[Date]],RD[#All],X$1,0)/X$2</f>
        <v>3.8987986004061761</v>
      </c>
      <c r="Y17" s="1">
        <f>VLOOKUP(Inv_Sy[[#This Row],[Date]],RD[#All],Y$1,0)/Y$2</f>
        <v>4.0054055541036808</v>
      </c>
      <c r="Z17" s="1">
        <f>VLOOKUP(Inv_Sy[[#This Row],[Date]],RD[#All],Z$1,0)/Z$2</f>
        <v>3.844301402940169</v>
      </c>
      <c r="AA17" s="1">
        <f t="shared" si="1"/>
        <v>3.951609765434771</v>
      </c>
      <c r="AB17" s="1">
        <f>MAX(Inv_Sy[[#This Row],[G1 Inv1]:[IS1_Inv2]])</f>
        <v>4.0911859465771663</v>
      </c>
      <c r="AC17"/>
    </row>
    <row r="18" spans="1:29" ht="15" customHeight="1" x14ac:dyDescent="0.35">
      <c r="A18" s="321" t="s">
        <v>141</v>
      </c>
      <c r="B18" s="321"/>
      <c r="C18" s="67">
        <f>YEAR(RD[[#This Row],[Month Year]])</f>
        <v>2025</v>
      </c>
      <c r="D18" s="169" t="s">
        <v>142</v>
      </c>
      <c r="E18" s="171">
        <f t="shared" si="2"/>
        <v>45851</v>
      </c>
      <c r="F18" s="1">
        <f>VLOOKUP(Inv_Sy[[#This Row],[Date]],RD[#All],F$1,0)/F$2</f>
        <v>3.3035714285714284</v>
      </c>
      <c r="G18" s="1">
        <f>VLOOKUP(Inv_Sy[[#This Row],[Date]],RD[#All],G$1,0)/G$2</f>
        <v>3.287760416666667</v>
      </c>
      <c r="H18" s="1">
        <f>VLOOKUP(Inv_Sy[[#This Row],[Date]],RD[#All],H$1,0)/H$2</f>
        <v>3.3165922619047619</v>
      </c>
      <c r="I18" s="1">
        <f>VLOOKUP(Inv_Sy[[#This Row],[Date]],RD[#All],I$1,0)/I$2</f>
        <v>3.2926332926332926</v>
      </c>
      <c r="J18" s="1">
        <f>VLOOKUP(Inv_Sy[[#This Row],[Date]],RD[#All],J$1,0)/J$2</f>
        <v>3.3141025641025643</v>
      </c>
      <c r="K18" s="1">
        <f>VLOOKUP(Inv_Sy[[#This Row],[Date]],RD[#All],K$1,0)/K$2</f>
        <v>3.3551756885090218</v>
      </c>
      <c r="L18" s="1">
        <f>VLOOKUP(Inv_Sy[[#This Row],[Date]],RD[#All],L$1,0)/L$2</f>
        <v>3.3813420621931258</v>
      </c>
      <c r="M18" s="1">
        <f>VLOOKUP(Inv_Sy[[#This Row],[Date]],RD[#All],M$1,0)/M$2</f>
        <v>3.4375</v>
      </c>
      <c r="N18" s="1">
        <f>VLOOKUP(Inv_Sy[[#This Row],[Date]],RD[#All],N$1,0)/N$2</f>
        <v>3.3518821603927988</v>
      </c>
      <c r="O18" s="1">
        <f>VLOOKUP(Inv_Sy[[#This Row],[Date]],RD[#All],O$1,0)/O$2</f>
        <v>3.4765625</v>
      </c>
      <c r="P18" s="1">
        <f>AVERAGEIFS(Inv_Sy[[#This Row],[G1 Inv1]:[G5 Inv10]],Inv_Sy[[#This Row],[G1 Inv1]:[G5 Inv10]],"&lt;&gt;"&amp;0)</f>
        <v>3.3517122374973658</v>
      </c>
      <c r="Q18" s="1">
        <f>VLOOKUP(Inv_Sy[[#This Row],[Date]],RD[#All],Q$1,0)/Q$2</f>
        <v>3.8046345930867602</v>
      </c>
      <c r="R18" s="1">
        <f>VLOOKUP(Inv_Sy[[#This Row],[Date]],RD[#All],R$1,0)/R$2</f>
        <v>3.7218783770507913</v>
      </c>
      <c r="S18" s="1">
        <f>VLOOKUP(Inv_Sy[[#This Row],[Date]],RD[#All],S$1,0)/S$2</f>
        <v>3.950802938717902</v>
      </c>
      <c r="T18" s="1">
        <f>VLOOKUP(Inv_Sy[[#This Row],[Date]],RD[#All],T$1,0)/T$2</f>
        <v>3.7965144049218007</v>
      </c>
      <c r="U18" s="1">
        <f>VLOOKUP(Inv_Sy[[#This Row],[Date]],RD[#All],U$1,0)/U$2</f>
        <v>3.8162552776875609</v>
      </c>
      <c r="V18" s="1">
        <f>VLOOKUP(Inv_Sy[[#This Row],[Date]],RD[#All],V$1,0)/V$2</f>
        <v>3.8072446426628961</v>
      </c>
      <c r="W18" s="1">
        <f>VLOOKUP(Inv_Sy[[#This Row],[Date]],RD[#All],W$1,0)/W$2</f>
        <v>3.7652795812285538</v>
      </c>
      <c r="X18" s="1">
        <f>VLOOKUP(Inv_Sy[[#This Row],[Date]],RD[#All],X$1,0)/X$2</f>
        <v>3.6981575277104897</v>
      </c>
      <c r="Y18" s="1">
        <f>VLOOKUP(Inv_Sy[[#This Row],[Date]],RD[#All],Y$1,0)/Y$2</f>
        <v>3.7779733986217887</v>
      </c>
      <c r="Z18" s="1">
        <f>VLOOKUP(Inv_Sy[[#This Row],[Date]],RD[#All],Z$1,0)/Z$2</f>
        <v>3.6024507873380287</v>
      </c>
      <c r="AA18" s="1">
        <f t="shared" si="1"/>
        <v>3.7741191529026565</v>
      </c>
      <c r="AB18" s="1">
        <f>MAX(Inv_Sy[[#This Row],[G1 Inv1]:[IS1_Inv2]])</f>
        <v>3.950802938717902</v>
      </c>
      <c r="AC18"/>
    </row>
    <row r="19" spans="1:29" ht="15" customHeight="1" x14ac:dyDescent="0.35">
      <c r="A19" s="321" t="s">
        <v>141</v>
      </c>
      <c r="B19" s="321"/>
      <c r="C19" s="67">
        <f>YEAR(RD[[#This Row],[Month Year]])</f>
        <v>2025</v>
      </c>
      <c r="D19" s="169" t="s">
        <v>142</v>
      </c>
      <c r="E19" s="171">
        <f t="shared" si="2"/>
        <v>45852</v>
      </c>
      <c r="F19" s="1">
        <f>VLOOKUP(Inv_Sy[[#This Row],[Date]],RD[#All],F$1,0)/F$2</f>
        <v>3.5212053571428572</v>
      </c>
      <c r="G19" s="1">
        <f>VLOOKUP(Inv_Sy[[#This Row],[Date]],RD[#All],G$1,0)/G$2</f>
        <v>3.419596354166667</v>
      </c>
      <c r="H19" s="1">
        <f>VLOOKUP(Inv_Sy[[#This Row],[Date]],RD[#All],H$1,0)/H$2</f>
        <v>3.4951636904761902</v>
      </c>
      <c r="I19" s="1">
        <f>VLOOKUP(Inv_Sy[[#This Row],[Date]],RD[#All],I$1,0)/I$2</f>
        <v>3.4708994708994707</v>
      </c>
      <c r="J19" s="1">
        <f>VLOOKUP(Inv_Sy[[#This Row],[Date]],RD[#All],J$1,0)/J$2</f>
        <v>2.4254807692307692</v>
      </c>
      <c r="K19" s="1">
        <f>VLOOKUP(Inv_Sy[[#This Row],[Date]],RD[#All],K$1,0)/K$2</f>
        <v>2.5061728395061729</v>
      </c>
      <c r="L19" s="1">
        <f>VLOOKUP(Inv_Sy[[#This Row],[Date]],RD[#All],L$1,0)/L$2</f>
        <v>2.8625204582651391</v>
      </c>
      <c r="M19" s="1">
        <f>VLOOKUP(Inv_Sy[[#This Row],[Date]],RD[#All],M$1,0)/M$2</f>
        <v>3.5146949404761902</v>
      </c>
      <c r="N19" s="1">
        <f>VLOOKUP(Inv_Sy[[#This Row],[Date]],RD[#All],N$1,0)/N$2</f>
        <v>3.4852700490998365</v>
      </c>
      <c r="O19" s="1">
        <f>VLOOKUP(Inv_Sy[[#This Row],[Date]],RD[#All],O$1,0)/O$2</f>
        <v>3.5565476190476191</v>
      </c>
      <c r="P19" s="1">
        <f>AVERAGEIFS(Inv_Sy[[#This Row],[G1 Inv1]:[G5 Inv10]],Inv_Sy[[#This Row],[G1 Inv1]:[G5 Inv10]],"&lt;&gt;"&amp;0)</f>
        <v>3.2257551548310905</v>
      </c>
      <c r="Q19" s="1">
        <f>VLOOKUP(Inv_Sy[[#This Row],[Date]],RD[#All],Q$1,0)/Q$2</f>
        <v>3.9725083600799884</v>
      </c>
      <c r="R19" s="1">
        <f>VLOOKUP(Inv_Sy[[#This Row],[Date]],RD[#All],R$1,0)/R$2</f>
        <v>3.8283885122965593</v>
      </c>
      <c r="S19" s="1">
        <f>VLOOKUP(Inv_Sy[[#This Row],[Date]],RD[#All],S$1,0)/S$2</f>
        <v>4.1168094159949256</v>
      </c>
      <c r="T19" s="1">
        <f>VLOOKUP(Inv_Sy[[#This Row],[Date]],RD[#All],T$1,0)/T$2</f>
        <v>4.0114145278035194</v>
      </c>
      <c r="U19" s="1">
        <f>VLOOKUP(Inv_Sy[[#This Row],[Date]],RD[#All],U$1,0)/U$2</f>
        <v>3.9702825592724906</v>
      </c>
      <c r="V19" s="1">
        <f>VLOOKUP(Inv_Sy[[#This Row],[Date]],RD[#All],V$1,0)/V$2</f>
        <v>3.9803696792710173</v>
      </c>
      <c r="W19" s="1">
        <f>VLOOKUP(Inv_Sy[[#This Row],[Date]],RD[#All],W$1,0)/W$2</f>
        <v>3.9263893581252978</v>
      </c>
      <c r="X19" s="1">
        <f>VLOOKUP(Inv_Sy[[#This Row],[Date]],RD[#All],X$1,0)/X$2</f>
        <v>3.8754720366700113</v>
      </c>
      <c r="Y19" s="1">
        <f>VLOOKUP(Inv_Sy[[#This Row],[Date]],RD[#All],Y$1,0)/Y$2</f>
        <v>3.9481176842771264</v>
      </c>
      <c r="Z19" s="1">
        <f>VLOOKUP(Inv_Sy[[#This Row],[Date]],RD[#All],Z$1,0)/Z$2</f>
        <v>3.7630819490086442</v>
      </c>
      <c r="AA19" s="1">
        <f t="shared" si="1"/>
        <v>3.9392834082799579</v>
      </c>
      <c r="AB19" s="1">
        <f>MAX(Inv_Sy[[#This Row],[G1 Inv1]:[IS1_Inv2]])</f>
        <v>4.1168094159949256</v>
      </c>
      <c r="AC19"/>
    </row>
    <row r="20" spans="1:29" ht="15" customHeight="1" x14ac:dyDescent="0.35">
      <c r="A20" s="321" t="s">
        <v>141</v>
      </c>
      <c r="B20" s="321"/>
      <c r="C20" s="67">
        <f>YEAR(RD[[#This Row],[Month Year]])</f>
        <v>2025</v>
      </c>
      <c r="D20" s="169" t="s">
        <v>142</v>
      </c>
      <c r="E20" s="171">
        <f t="shared" si="2"/>
        <v>45853</v>
      </c>
      <c r="F20" s="1">
        <f>VLOOKUP(Inv_Sy[[#This Row],[Date]],RD[#All],F$1,0)/F$2</f>
        <v>3.1538318452380949</v>
      </c>
      <c r="G20" s="1">
        <f>VLOOKUP(Inv_Sy[[#This Row],[Date]],RD[#All],G$1,0)/G$2</f>
        <v>3.2039388020833335</v>
      </c>
      <c r="H20" s="1">
        <f>VLOOKUP(Inv_Sy[[#This Row],[Date]],RD[#All],H$1,0)/H$2</f>
        <v>3.2040550595238093</v>
      </c>
      <c r="I20" s="1">
        <f>VLOOKUP(Inv_Sy[[#This Row],[Date]],RD[#All],I$1,0)/I$2</f>
        <v>3.1859991859991861</v>
      </c>
      <c r="J20" s="1">
        <f>VLOOKUP(Inv_Sy[[#This Row],[Date]],RD[#All],J$1,0)/J$2</f>
        <v>3.2179487179487181</v>
      </c>
      <c r="K20" s="1">
        <f>VLOOKUP(Inv_Sy[[#This Row],[Date]],RD[#All],K$1,0)/K$2</f>
        <v>3.1908831908831909</v>
      </c>
      <c r="L20" s="1">
        <f>VLOOKUP(Inv_Sy[[#This Row],[Date]],RD[#All],L$1,0)/L$2</f>
        <v>3.257774140752864</v>
      </c>
      <c r="M20" s="1">
        <f>VLOOKUP(Inv_Sy[[#This Row],[Date]],RD[#All],M$1,0)/M$2</f>
        <v>3.2635788690476191</v>
      </c>
      <c r="N20" s="1">
        <f>VLOOKUP(Inv_Sy[[#This Row],[Date]],RD[#All],N$1,0)/N$2</f>
        <v>3.1865793780687399</v>
      </c>
      <c r="O20" s="1">
        <f>VLOOKUP(Inv_Sy[[#This Row],[Date]],RD[#All],O$1,0)/O$2</f>
        <v>3.2468377976190474</v>
      </c>
      <c r="P20" s="1">
        <f>AVERAGEIFS(Inv_Sy[[#This Row],[G1 Inv1]:[G5 Inv10]],Inv_Sy[[#This Row],[G1 Inv1]:[G5 Inv10]],"&lt;&gt;"&amp;0)</f>
        <v>3.2111426987164604</v>
      </c>
      <c r="Q20" s="1">
        <f>VLOOKUP(Inv_Sy[[#This Row],[Date]],RD[#All],Q$1,0)/Q$2</f>
        <v>3.4851871145541016</v>
      </c>
      <c r="R20" s="1">
        <f>VLOOKUP(Inv_Sy[[#This Row],[Date]],RD[#All],R$1,0)/R$2</f>
        <v>3.2928087238432071</v>
      </c>
      <c r="S20" s="1">
        <f>VLOOKUP(Inv_Sy[[#This Row],[Date]],RD[#All],S$1,0)/S$2</f>
        <v>3.558889873688897</v>
      </c>
      <c r="T20" s="1">
        <f>VLOOKUP(Inv_Sy[[#This Row],[Date]],RD[#All],T$1,0)/T$2</f>
        <v>3.457671126061947</v>
      </c>
      <c r="U20" s="1">
        <f>VLOOKUP(Inv_Sy[[#This Row],[Date]],RD[#All],U$1,0)/U$2</f>
        <v>3.4316336472880797</v>
      </c>
      <c r="V20" s="1">
        <f>VLOOKUP(Inv_Sy[[#This Row],[Date]],RD[#All],V$1,0)/V$2</f>
        <v>3.4584842982536883</v>
      </c>
      <c r="W20" s="1">
        <f>VLOOKUP(Inv_Sy[[#This Row],[Date]],RD[#All],W$1,0)/W$2</f>
        <v>3.4455837278311234</v>
      </c>
      <c r="X20" s="1">
        <f>VLOOKUP(Inv_Sy[[#This Row],[Date]],RD[#All],X$1,0)/X$2</f>
        <v>3.400539936545222</v>
      </c>
      <c r="Y20" s="1">
        <f>VLOOKUP(Inv_Sy[[#This Row],[Date]],RD[#All],Y$1,0)/Y$2</f>
        <v>3.4830749762733304</v>
      </c>
      <c r="Z20" s="1">
        <f>VLOOKUP(Inv_Sy[[#This Row],[Date]],RD[#All],Z$1,0)/Z$2</f>
        <v>3.3780320100200782</v>
      </c>
      <c r="AA20" s="1">
        <f t="shared" si="1"/>
        <v>3.4391905434359673</v>
      </c>
      <c r="AB20" s="1">
        <f>MAX(Inv_Sy[[#This Row],[G1 Inv1]:[IS1_Inv2]])</f>
        <v>3.558889873688897</v>
      </c>
      <c r="AC20"/>
    </row>
    <row r="21" spans="1:29" ht="15" customHeight="1" x14ac:dyDescent="0.35">
      <c r="A21" s="321" t="s">
        <v>141</v>
      </c>
      <c r="B21" s="321"/>
      <c r="C21" s="67">
        <f>YEAR(RD[[#This Row],[Month Year]])</f>
        <v>2025</v>
      </c>
      <c r="D21" s="169" t="s">
        <v>142</v>
      </c>
      <c r="E21" s="171">
        <f t="shared" si="2"/>
        <v>45854</v>
      </c>
      <c r="F21" s="1">
        <f>VLOOKUP(Inv_Sy[[#This Row],[Date]],RD[#All],F$1,0)/F$2</f>
        <v>4.1871279761904763</v>
      </c>
      <c r="G21" s="1">
        <f>VLOOKUP(Inv_Sy[[#This Row],[Date]],RD[#All],G$1,0)/G$2</f>
        <v>4.200846354166667</v>
      </c>
      <c r="H21" s="1">
        <f>VLOOKUP(Inv_Sy[[#This Row],[Date]],RD[#All],H$1,0)/H$2</f>
        <v>4.1713169642857144</v>
      </c>
      <c r="I21" s="1">
        <f>VLOOKUP(Inv_Sy[[#This Row],[Date]],RD[#All],I$1,0)/I$2</f>
        <v>3.7207977207977208</v>
      </c>
      <c r="J21" s="1">
        <f>VLOOKUP(Inv_Sy[[#This Row],[Date]],RD[#All],J$1,0)/J$2</f>
        <v>4.1810897435897436</v>
      </c>
      <c r="K21" s="1">
        <f>VLOOKUP(Inv_Sy[[#This Row],[Date]],RD[#All],K$1,0)/K$2</f>
        <v>4.1975308641975309</v>
      </c>
      <c r="L21" s="1">
        <f>VLOOKUP(Inv_Sy[[#This Row],[Date]],RD[#All],L$1,0)/L$2</f>
        <v>4.1963993453355153</v>
      </c>
      <c r="M21" s="1">
        <f>VLOOKUP(Inv_Sy[[#This Row],[Date]],RD[#All],M$1,0)/M$2</f>
        <v>4.39453125</v>
      </c>
      <c r="N21" s="1">
        <f>VLOOKUP(Inv_Sy[[#This Row],[Date]],RD[#All],N$1,0)/N$2</f>
        <v>4.2749590834697218</v>
      </c>
      <c r="O21" s="1">
        <f>VLOOKUP(Inv_Sy[[#This Row],[Date]],RD[#All],O$1,0)/O$2</f>
        <v>4.4233630952380949</v>
      </c>
      <c r="P21" s="1">
        <f>AVERAGEIFS(Inv_Sy[[#This Row],[G1 Inv1]:[G5 Inv10]],Inv_Sy[[#This Row],[G1 Inv1]:[G5 Inv10]],"&lt;&gt;"&amp;0)</f>
        <v>4.1947962397271192</v>
      </c>
      <c r="Q21" s="1">
        <f>VLOOKUP(Inv_Sy[[#This Row],[Date]],RD[#All],Q$1,0)/Q$2</f>
        <v>4.8490144347913766</v>
      </c>
      <c r="R21" s="1">
        <f>VLOOKUP(Inv_Sy[[#This Row],[Date]],RD[#All],R$1,0)/R$2</f>
        <v>4.567901234567902</v>
      </c>
      <c r="S21" s="1">
        <f>VLOOKUP(Inv_Sy[[#This Row],[Date]],RD[#All],S$1,0)/S$2</f>
        <v>4.9227305377148065</v>
      </c>
      <c r="T21" s="1">
        <f>VLOOKUP(Inv_Sy[[#This Row],[Date]],RD[#All],T$1,0)/T$2</f>
        <v>4.7902641752840358</v>
      </c>
      <c r="U21" s="1">
        <f>VLOOKUP(Inv_Sy[[#This Row],[Date]],RD[#All],U$1,0)/U$2</f>
        <v>4.7505683663527112</v>
      </c>
      <c r="V21" s="1">
        <f>VLOOKUP(Inv_Sy[[#This Row],[Date]],RD[#All],V$1,0)/V$2</f>
        <v>4.7809788384138434</v>
      </c>
      <c r="W21" s="1">
        <f>VLOOKUP(Inv_Sy[[#This Row],[Date]],RD[#All],W$1,0)/W$2</f>
        <v>4.7841218540242849</v>
      </c>
      <c r="X21" s="1">
        <f>VLOOKUP(Inv_Sy[[#This Row],[Date]],RD[#All],X$1,0)/X$2</f>
        <v>4.7329271575032417</v>
      </c>
      <c r="Y21" s="1">
        <f>VLOOKUP(Inv_Sy[[#This Row],[Date]],RD[#All],Y$1,0)/Y$2</f>
        <v>4.6593675639244587</v>
      </c>
      <c r="Z21" s="1">
        <f>VLOOKUP(Inv_Sy[[#This Row],[Date]],RD[#All],Z$1,0)/Z$2</f>
        <v>4.5023855793503724</v>
      </c>
      <c r="AA21" s="1">
        <f t="shared" si="1"/>
        <v>4.7340259741927042</v>
      </c>
      <c r="AB21" s="1">
        <f>MAX(Inv_Sy[[#This Row],[G1 Inv1]:[IS1_Inv2]])</f>
        <v>4.9227305377148065</v>
      </c>
      <c r="AC21"/>
    </row>
    <row r="22" spans="1:29" ht="15" customHeight="1" x14ac:dyDescent="0.35">
      <c r="A22" s="321" t="s">
        <v>141</v>
      </c>
      <c r="B22" s="321"/>
      <c r="C22" s="67">
        <f>YEAR(RD[[#This Row],[Month Year]])</f>
        <v>2025</v>
      </c>
      <c r="D22" s="169" t="s">
        <v>142</v>
      </c>
      <c r="E22" s="171">
        <f t="shared" si="2"/>
        <v>45855</v>
      </c>
      <c r="F22" s="1">
        <f>VLOOKUP(Inv_Sy[[#This Row],[Date]],RD[#All],F$1,0)/F$2</f>
        <v>2.686941964285714</v>
      </c>
      <c r="G22" s="1">
        <f>VLOOKUP(Inv_Sy[[#This Row],[Date]],RD[#All],G$1,0)/G$2</f>
        <v>2.3372395833333335</v>
      </c>
      <c r="H22" s="1">
        <f>VLOOKUP(Inv_Sy[[#This Row],[Date]],RD[#All],H$1,0)/H$2</f>
        <v>2.8459821428571428</v>
      </c>
      <c r="I22" s="1">
        <f>VLOOKUP(Inv_Sy[[#This Row],[Date]],RD[#All],I$1,0)/I$2</f>
        <v>2.8213268213268212</v>
      </c>
      <c r="J22" s="1">
        <f>VLOOKUP(Inv_Sy[[#This Row],[Date]],RD[#All],J$1,0)/J$2</f>
        <v>2.8205128205128207</v>
      </c>
      <c r="K22" s="1">
        <f>VLOOKUP(Inv_Sy[[#This Row],[Date]],RD[#All],K$1,0)/K$2</f>
        <v>2.8461538461538463</v>
      </c>
      <c r="L22" s="1">
        <f>VLOOKUP(Inv_Sy[[#This Row],[Date]],RD[#All],L$1,0)/L$2</f>
        <v>2.6129296235679216</v>
      </c>
      <c r="M22" s="1">
        <f>VLOOKUP(Inv_Sy[[#This Row],[Date]],RD[#All],M$1,0)/M$2</f>
        <v>2.9482886904761902</v>
      </c>
      <c r="N22" s="1">
        <f>VLOOKUP(Inv_Sy[[#This Row],[Date]],RD[#All],N$1,0)/N$2</f>
        <v>2.8780687397708675</v>
      </c>
      <c r="O22" s="1">
        <f>VLOOKUP(Inv_Sy[[#This Row],[Date]],RD[#All],O$1,0)/O$2</f>
        <v>3.0022321428571428</v>
      </c>
      <c r="P22" s="1">
        <f>AVERAGEIFS(Inv_Sy[[#This Row],[G1 Inv1]:[G5 Inv10]],Inv_Sy[[#This Row],[G1 Inv1]:[G5 Inv10]],"&lt;&gt;"&amp;0)</f>
        <v>2.7799676375141802</v>
      </c>
      <c r="Q22" s="1">
        <f>VLOOKUP(Inv_Sy[[#This Row],[Date]],RD[#All],Q$1,0)/Q$2</f>
        <v>3.2989967904014526</v>
      </c>
      <c r="R22" s="1">
        <f>VLOOKUP(Inv_Sy[[#This Row],[Date]],RD[#All],R$1,0)/R$2</f>
        <v>3.1415987163113606</v>
      </c>
      <c r="S22" s="1">
        <f>VLOOKUP(Inv_Sy[[#This Row],[Date]],RD[#All],S$1,0)/S$2</f>
        <v>3.4173307065776704</v>
      </c>
      <c r="T22" s="1">
        <f>VLOOKUP(Inv_Sy[[#This Row],[Date]],RD[#All],T$1,0)/T$2</f>
        <v>3.3208274307922805</v>
      </c>
      <c r="U22" s="1">
        <f>VLOOKUP(Inv_Sy[[#This Row],[Date]],RD[#All],U$1,0)/U$2</f>
        <v>3.3035888275414091</v>
      </c>
      <c r="V22" s="1">
        <f>VLOOKUP(Inv_Sy[[#This Row],[Date]],RD[#All],V$1,0)/V$2</f>
        <v>3.2986636989682787</v>
      </c>
      <c r="W22" s="1">
        <f>VLOOKUP(Inv_Sy[[#This Row],[Date]],RD[#All],W$1,0)/W$2</f>
        <v>3.2668894578521681</v>
      </c>
      <c r="X22" s="1">
        <f>VLOOKUP(Inv_Sy[[#This Row],[Date]],RD[#All],X$1,0)/X$2</f>
        <v>3.2016932149061637</v>
      </c>
      <c r="Y22" s="1">
        <f>VLOOKUP(Inv_Sy[[#This Row],[Date]],RD[#All],Y$1,0)/Y$2</f>
        <v>3.2829456831217412</v>
      </c>
      <c r="Z22" s="1">
        <f>VLOOKUP(Inv_Sy[[#This Row],[Date]],RD[#All],Z$1,0)/Z$2</f>
        <v>3.274105972664294</v>
      </c>
      <c r="AA22" s="1">
        <f t="shared" si="1"/>
        <v>3.2806640499136819</v>
      </c>
      <c r="AB22" s="1">
        <f>MAX(Inv_Sy[[#This Row],[G1 Inv1]:[IS1_Inv2]])</f>
        <v>3.4173307065776704</v>
      </c>
      <c r="AC22"/>
    </row>
    <row r="23" spans="1:29" ht="15" customHeight="1" x14ac:dyDescent="0.35">
      <c r="A23" s="321" t="s">
        <v>141</v>
      </c>
      <c r="B23" s="321"/>
      <c r="C23" s="67">
        <f>YEAR(RD[[#This Row],[Month Year]])</f>
        <v>2025</v>
      </c>
      <c r="D23" s="169" t="s">
        <v>142</v>
      </c>
      <c r="E23" s="171">
        <f t="shared" ref="E23:E65" si="3">E22+1</f>
        <v>45856</v>
      </c>
      <c r="F23" s="1">
        <f>VLOOKUP(Inv_Sy[[#This Row],[Date]],RD[#All],F$1,0)/F$2</f>
        <v>2.7529761904761902</v>
      </c>
      <c r="G23" s="1">
        <f>VLOOKUP(Inv_Sy[[#This Row],[Date]],RD[#All],G$1,0)/G$2</f>
        <v>2.767740885416667</v>
      </c>
      <c r="H23" s="1">
        <f>VLOOKUP(Inv_Sy[[#This Row],[Date]],RD[#All],H$1,0)/H$2</f>
        <v>2.7762276785714284</v>
      </c>
      <c r="I23" s="1">
        <f>VLOOKUP(Inv_Sy[[#This Row],[Date]],RD[#All],I$1,0)/I$2</f>
        <v>2.7757427757427759</v>
      </c>
      <c r="J23" s="1">
        <f>VLOOKUP(Inv_Sy[[#This Row],[Date]],RD[#All],J$1,0)/J$2</f>
        <v>2.7596153846153846</v>
      </c>
      <c r="K23" s="1">
        <f>VLOOKUP(Inv_Sy[[#This Row],[Date]],RD[#All],K$1,0)/K$2</f>
        <v>2.7616334283000952</v>
      </c>
      <c r="L23" s="1">
        <f>VLOOKUP(Inv_Sy[[#This Row],[Date]],RD[#All],L$1,0)/L$2</f>
        <v>2.8674304418985268</v>
      </c>
      <c r="M23" s="1">
        <f>VLOOKUP(Inv_Sy[[#This Row],[Date]],RD[#All],M$1,0)/M$2</f>
        <v>2.9175967261904763</v>
      </c>
      <c r="N23" s="1">
        <f>VLOOKUP(Inv_Sy[[#This Row],[Date]],RD[#All],N$1,0)/N$2</f>
        <v>2.8216039279869065</v>
      </c>
      <c r="O23" s="1">
        <f>VLOOKUP(Inv_Sy[[#This Row],[Date]],RD[#All],O$1,0)/O$2</f>
        <v>2.9445684523809521</v>
      </c>
      <c r="P23" s="1">
        <f>AVERAGEIFS(Inv_Sy[[#This Row],[G1 Inv1]:[G5 Inv10]],Inv_Sy[[#This Row],[G1 Inv1]:[G5 Inv10]],"&lt;&gt;"&amp;0)</f>
        <v>2.8145135891579405</v>
      </c>
      <c r="Q23" s="1">
        <f>VLOOKUP(Inv_Sy[[#This Row],[Date]],RD[#All],Q$1,0)/Q$2</f>
        <v>3.2648002823102389</v>
      </c>
      <c r="R23" s="1">
        <f>VLOOKUP(Inv_Sy[[#This Row],[Date]],RD[#All],R$1,0)/R$2</f>
        <v>3.1291547958214627</v>
      </c>
      <c r="S23" s="1">
        <f>VLOOKUP(Inv_Sy[[#This Row],[Date]],RD[#All],S$1,0)/S$2</f>
        <v>3.3500375950903751</v>
      </c>
      <c r="T23" s="1">
        <f>VLOOKUP(Inv_Sy[[#This Row],[Date]],RD[#All],T$1,0)/T$2</f>
        <v>3.2576311180603468</v>
      </c>
      <c r="U23" s="1">
        <f>VLOOKUP(Inv_Sy[[#This Row],[Date]],RD[#All],U$1,0)/U$2</f>
        <v>3.236278012341669</v>
      </c>
      <c r="V23" s="1">
        <f>VLOOKUP(Inv_Sy[[#This Row],[Date]],RD[#All],V$1,0)/V$2</f>
        <v>3.2442744897873803</v>
      </c>
      <c r="W23" s="1">
        <f>VLOOKUP(Inv_Sy[[#This Row],[Date]],RD[#All],W$1,0)/W$2</f>
        <v>3.2309063747857905</v>
      </c>
      <c r="X23" s="1">
        <f>VLOOKUP(Inv_Sy[[#This Row],[Date]],RD[#All],X$1,0)/X$2</f>
        <v>3.1764907387017054</v>
      </c>
      <c r="Y23" s="1">
        <f>VLOOKUP(Inv_Sy[[#This Row],[Date]],RD[#All],Y$1,0)/Y$2</f>
        <v>3.1515205699902333</v>
      </c>
      <c r="Z23" s="1">
        <f>VLOOKUP(Inv_Sy[[#This Row],[Date]],RD[#All],Z$1,0)/Z$2</f>
        <v>3.1348901471376274</v>
      </c>
      <c r="AA23" s="1">
        <f t="shared" si="1"/>
        <v>3.2175984124026824</v>
      </c>
      <c r="AB23" s="1">
        <f>MAX(Inv_Sy[[#This Row],[G1 Inv1]:[IS1_Inv2]])</f>
        <v>3.3500375950903751</v>
      </c>
      <c r="AC23"/>
    </row>
    <row r="24" spans="1:29" ht="15" customHeight="1" x14ac:dyDescent="0.35">
      <c r="A24" s="321" t="s">
        <v>141</v>
      </c>
      <c r="B24" s="321"/>
      <c r="C24" s="67">
        <f>YEAR(RD[[#This Row],[Month Year]])</f>
        <v>2025</v>
      </c>
      <c r="D24" s="169" t="s">
        <v>142</v>
      </c>
      <c r="E24" s="171">
        <f t="shared" si="3"/>
        <v>45857</v>
      </c>
      <c r="F24" s="1">
        <f>VLOOKUP(Inv_Sy[[#This Row],[Date]],RD[#All],F$1,0)/F$2</f>
        <v>3.6951264880952381</v>
      </c>
      <c r="G24" s="1">
        <f>VLOOKUP(Inv_Sy[[#This Row],[Date]],RD[#All],G$1,0)/G$2</f>
        <v>3.6767578125</v>
      </c>
      <c r="H24" s="1">
        <f>VLOOKUP(Inv_Sy[[#This Row],[Date]],RD[#All],H$1,0)/H$2</f>
        <v>3.6960565476190474</v>
      </c>
      <c r="I24" s="1">
        <f>VLOOKUP(Inv_Sy[[#This Row],[Date]],RD[#All],I$1,0)/I$2</f>
        <v>3.6947496947496949</v>
      </c>
      <c r="J24" s="1">
        <f>VLOOKUP(Inv_Sy[[#This Row],[Date]],RD[#All],J$1,0)/J$2</f>
        <v>3.65625</v>
      </c>
      <c r="K24" s="1">
        <f>VLOOKUP(Inv_Sy[[#This Row],[Date]],RD[#All],K$1,0)/K$2</f>
        <v>3.6894586894586894</v>
      </c>
      <c r="L24" s="1">
        <f>VLOOKUP(Inv_Sy[[#This Row],[Date]],RD[#All],L$1,0)/L$2</f>
        <v>3.7995090016366611</v>
      </c>
      <c r="M24" s="1">
        <f>VLOOKUP(Inv_Sy[[#This Row],[Date]],RD[#All],M$1,0)/M$2</f>
        <v>3.860677083333333</v>
      </c>
      <c r="N24" s="1">
        <f>VLOOKUP(Inv_Sy[[#This Row],[Date]],RD[#All],N$1,0)/N$2</f>
        <v>3.7078559738134205</v>
      </c>
      <c r="O24" s="1">
        <f>VLOOKUP(Inv_Sy[[#This Row],[Date]],RD[#All],O$1,0)/O$2</f>
        <v>3.8597470238095237</v>
      </c>
      <c r="P24" s="1">
        <f>AVERAGEIFS(Inv_Sy[[#This Row],[G1 Inv1]:[G5 Inv10]],Inv_Sy[[#This Row],[G1 Inv1]:[G5 Inv10]],"&lt;&gt;"&amp;0)</f>
        <v>3.7336188315015613</v>
      </c>
      <c r="Q24" s="1">
        <f>VLOOKUP(Inv_Sy[[#This Row],[Date]],RD[#All],Q$1,0)/Q$2</f>
        <v>4.1734023425028157</v>
      </c>
      <c r="R24" s="1">
        <f>VLOOKUP(Inv_Sy[[#This Row],[Date]],RD[#All],R$1,0)/R$2</f>
        <v>4.0686707928087245</v>
      </c>
      <c r="S24" s="1">
        <f>VLOOKUP(Inv_Sy[[#This Row],[Date]],RD[#All],S$1,0)/S$2</f>
        <v>4.2865123937781178</v>
      </c>
      <c r="T24" s="1">
        <f>VLOOKUP(Inv_Sy[[#This Row],[Date]],RD[#All],T$1,0)/T$2</f>
        <v>4.1541369498389473</v>
      </c>
      <c r="U24" s="1">
        <f>VLOOKUP(Inv_Sy[[#This Row],[Date]],RD[#All],U$1,0)/U$2</f>
        <v>4.1439590776226041</v>
      </c>
      <c r="V24" s="1">
        <f>VLOOKUP(Inv_Sy[[#This Row],[Date]],RD[#All],V$1,0)/V$2</f>
        <v>4.1683889916240622</v>
      </c>
      <c r="W24" s="1">
        <f>VLOOKUP(Inv_Sy[[#This Row],[Date]],RD[#All],W$1,0)/W$2</f>
        <v>4.1470910282450921</v>
      </c>
      <c r="X24" s="1">
        <f>VLOOKUP(Inv_Sy[[#This Row],[Date]],RD[#All],X$1,0)/X$2</f>
        <v>4.0885104439387643</v>
      </c>
      <c r="Y24" s="1">
        <f>VLOOKUP(Inv_Sy[[#This Row],[Date]],RD[#All],Y$1,0)/Y$2</f>
        <v>4.0613179648707742</v>
      </c>
      <c r="Z24" s="1">
        <f>VLOOKUP(Inv_Sy[[#This Row],[Date]],RD[#All],Z$1,0)/Z$2</f>
        <v>4.0614891954883809</v>
      </c>
      <c r="AA24" s="1">
        <f t="shared" si="1"/>
        <v>4.1353479180718278</v>
      </c>
      <c r="AB24" s="1">
        <f>MAX(Inv_Sy[[#This Row],[G1 Inv1]:[IS1_Inv2]])</f>
        <v>4.2865123937781178</v>
      </c>
      <c r="AC24"/>
    </row>
    <row r="25" spans="1:29" ht="15" customHeight="1" x14ac:dyDescent="0.35">
      <c r="A25" s="321" t="s">
        <v>141</v>
      </c>
      <c r="B25" s="321"/>
      <c r="C25" s="67">
        <f>YEAR(RD[[#This Row],[Month Year]])</f>
        <v>2025</v>
      </c>
      <c r="D25" s="169" t="s">
        <v>142</v>
      </c>
      <c r="E25" s="171">
        <f t="shared" si="3"/>
        <v>45858</v>
      </c>
      <c r="F25" s="1">
        <f>VLOOKUP(Inv_Sy[[#This Row],[Date]],RD[#All],F$1,0)/F$2</f>
        <v>4.6493675595238093</v>
      </c>
      <c r="G25" s="1">
        <f>VLOOKUP(Inv_Sy[[#This Row],[Date]],RD[#All],G$1,0)/G$2</f>
        <v>3.7890625</v>
      </c>
      <c r="H25" s="1">
        <f>VLOOKUP(Inv_Sy[[#This Row],[Date]],RD[#All],H$1,0)/H$2</f>
        <v>4.6540178571428568</v>
      </c>
      <c r="I25" s="1">
        <f>VLOOKUP(Inv_Sy[[#This Row],[Date]],RD[#All],I$1,0)/I$2</f>
        <v>4.6788766788766791</v>
      </c>
      <c r="J25" s="1">
        <f>VLOOKUP(Inv_Sy[[#This Row],[Date]],RD[#All],J$1,0)/J$2</f>
        <v>4.6818910256410255</v>
      </c>
      <c r="K25" s="1">
        <f>VLOOKUP(Inv_Sy[[#This Row],[Date]],RD[#All],K$1,0)/K$2</f>
        <v>4.749287749287749</v>
      </c>
      <c r="L25" s="1">
        <f>VLOOKUP(Inv_Sy[[#This Row],[Date]],RD[#All],L$1,0)/L$2</f>
        <v>4.8371522094926354</v>
      </c>
      <c r="M25" s="1">
        <f>VLOOKUP(Inv_Sy[[#This Row],[Date]],RD[#All],M$1,0)/M$2</f>
        <v>4.9237351190476186</v>
      </c>
      <c r="N25" s="1">
        <f>VLOOKUP(Inv_Sy[[#This Row],[Date]],RD[#All],N$1,0)/N$2</f>
        <v>4.6898527004909987</v>
      </c>
      <c r="O25" s="1">
        <f>VLOOKUP(Inv_Sy[[#This Row],[Date]],RD[#All],O$1,0)/O$2</f>
        <v>4.8753720238095237</v>
      </c>
      <c r="P25" s="1">
        <f>AVERAGEIFS(Inv_Sy[[#This Row],[G1 Inv1]:[G5 Inv10]],Inv_Sy[[#This Row],[G1 Inv1]:[G5 Inv10]],"&lt;&gt;"&amp;0)</f>
        <v>4.6528615423312907</v>
      </c>
      <c r="Q25" s="1">
        <f>VLOOKUP(Inv_Sy[[#This Row],[Date]],RD[#All],Q$1,0)/Q$2</f>
        <v>5.5749550488161459</v>
      </c>
      <c r="R25" s="1">
        <f>VLOOKUP(Inv_Sy[[#This Row],[Date]],RD[#All],R$1,0)/R$2</f>
        <v>5.4275141631463484</v>
      </c>
      <c r="S25" s="1">
        <f>VLOOKUP(Inv_Sy[[#This Row],[Date]],RD[#All],S$1,0)/S$2</f>
        <v>5.7093290431524419</v>
      </c>
      <c r="T25" s="1">
        <f>VLOOKUP(Inv_Sy[[#This Row],[Date]],RD[#All],T$1,0)/T$2</f>
        <v>5.5155520900098383</v>
      </c>
      <c r="U25" s="1">
        <f>VLOOKUP(Inv_Sy[[#This Row],[Date]],RD[#All],U$1,0)/U$2</f>
        <v>5.5107177655082813</v>
      </c>
      <c r="V25" s="1">
        <f>VLOOKUP(Inv_Sy[[#This Row],[Date]],RD[#All],V$1,0)/V$2</f>
        <v>5.5692876687111434</v>
      </c>
      <c r="W25" s="1">
        <f>VLOOKUP(Inv_Sy[[#This Row],[Date]],RD[#All],W$1,0)/W$2</f>
        <v>5.5369986689515649</v>
      </c>
      <c r="X25" s="1">
        <f>VLOOKUP(Inv_Sy[[#This Row],[Date]],RD[#All],X$1,0)/X$2</f>
        <v>5.4528697382694302</v>
      </c>
      <c r="Y25" s="1">
        <f>VLOOKUP(Inv_Sy[[#This Row],[Date]],RD[#All],Y$1,0)/Y$2</f>
        <v>5.2860267114149329</v>
      </c>
      <c r="Z25" s="1">
        <f>VLOOKUP(Inv_Sy[[#This Row],[Date]],RD[#All],Z$1,0)/Z$2</f>
        <v>5.2172846360942344</v>
      </c>
      <c r="AA25" s="1">
        <f t="shared" si="1"/>
        <v>5.4800535534074353</v>
      </c>
      <c r="AB25" s="1">
        <f>MAX(Inv_Sy[[#This Row],[G1 Inv1]:[IS1_Inv2]])</f>
        <v>5.7093290431524419</v>
      </c>
      <c r="AC25"/>
    </row>
    <row r="26" spans="1:29" ht="15" customHeight="1" x14ac:dyDescent="0.35">
      <c r="A26" s="321" t="s">
        <v>141</v>
      </c>
      <c r="B26" s="321"/>
      <c r="C26" s="67">
        <f>YEAR(RD[[#This Row],[Month Year]])</f>
        <v>2025</v>
      </c>
      <c r="D26" s="169" t="s">
        <v>142</v>
      </c>
      <c r="E26" s="171">
        <f t="shared" si="3"/>
        <v>45859</v>
      </c>
      <c r="F26" s="1">
        <f>VLOOKUP(Inv_Sy[[#This Row],[Date]],RD[#All],F$1,0)/F$2</f>
        <v>4.7405133928571423</v>
      </c>
      <c r="G26" s="1">
        <f>VLOOKUP(Inv_Sy[[#This Row],[Date]],RD[#All],G$1,0)/G$2</f>
        <v>4.659830729166667</v>
      </c>
      <c r="H26" s="1">
        <f>VLOOKUP(Inv_Sy[[#This Row],[Date]],RD[#All],H$1,0)/H$2</f>
        <v>4.74609375</v>
      </c>
      <c r="I26" s="1">
        <f>VLOOKUP(Inv_Sy[[#This Row],[Date]],RD[#All],I$1,0)/I$2</f>
        <v>4.8091168091168095</v>
      </c>
      <c r="J26" s="1">
        <f>VLOOKUP(Inv_Sy[[#This Row],[Date]],RD[#All],J$1,0)/J$2</f>
        <v>4.8269230769230766</v>
      </c>
      <c r="K26" s="1">
        <f>VLOOKUP(Inv_Sy[[#This Row],[Date]],RD[#All],K$1,0)/K$2</f>
        <v>4.7549857549857553</v>
      </c>
      <c r="L26" s="1">
        <f>VLOOKUP(Inv_Sy[[#This Row],[Date]],RD[#All],L$1,0)/L$2</f>
        <v>4.9451718494271688</v>
      </c>
      <c r="M26" s="1">
        <f>VLOOKUP(Inv_Sy[[#This Row],[Date]],RD[#All],M$1,0)/M$2</f>
        <v>4.8856026785714279</v>
      </c>
      <c r="N26" s="1">
        <f>VLOOKUP(Inv_Sy[[#This Row],[Date]],RD[#All],N$1,0)/N$2</f>
        <v>4.1031096563011458</v>
      </c>
      <c r="O26" s="1">
        <f>VLOOKUP(Inv_Sy[[#This Row],[Date]],RD[#All],O$1,0)/O$2</f>
        <v>4.9330357142857144</v>
      </c>
      <c r="P26" s="1">
        <f>AVERAGEIFS(Inv_Sy[[#This Row],[G1 Inv1]:[G5 Inv10]],Inv_Sy[[#This Row],[G1 Inv1]:[G5 Inv10]],"&lt;&gt;"&amp;0)</f>
        <v>4.7404383411634914</v>
      </c>
      <c r="Q26" s="1">
        <f>VLOOKUP(Inv_Sy[[#This Row],[Date]],RD[#All],Q$1,0)/Q$2</f>
        <v>5.4134668705573956</v>
      </c>
      <c r="R26" s="1">
        <f>VLOOKUP(Inv_Sy[[#This Row],[Date]],RD[#All],R$1,0)/R$2</f>
        <v>5.2939057536758689</v>
      </c>
      <c r="S26" s="1">
        <f>VLOOKUP(Inv_Sy[[#This Row],[Date]],RD[#All],S$1,0)/S$2</f>
        <v>5.5936453795843954</v>
      </c>
      <c r="T26" s="1">
        <f>VLOOKUP(Inv_Sy[[#This Row],[Date]],RD[#All],T$1,0)/T$2</f>
        <v>5.4377406093463581</v>
      </c>
      <c r="U26" s="1">
        <f>VLOOKUP(Inv_Sy[[#This Row],[Date]],RD[#All],U$1,0)/U$2</f>
        <v>5.3966385189996746</v>
      </c>
      <c r="V26" s="1">
        <f>VLOOKUP(Inv_Sy[[#This Row],[Date]],RD[#All],V$1,0)/V$2</f>
        <v>5.4793362842965809</v>
      </c>
      <c r="W26" s="1">
        <f>VLOOKUP(Inv_Sy[[#This Row],[Date]],RD[#All],W$1,0)/W$2</f>
        <v>5.3570018439294831</v>
      </c>
      <c r="X26" s="1">
        <f>VLOOKUP(Inv_Sy[[#This Row],[Date]],RD[#All],X$1,0)/X$2</f>
        <v>5.34977611392498</v>
      </c>
      <c r="Y26" s="1">
        <f>VLOOKUP(Inv_Sy[[#This Row],[Date]],RD[#All],Y$1,0)/Y$2</f>
        <v>5.1498562645282844</v>
      </c>
      <c r="Z26" s="1">
        <f>VLOOKUP(Inv_Sy[[#This Row],[Date]],RD[#All],Z$1,0)/Z$2</f>
        <v>5.1389704885434071</v>
      </c>
      <c r="AA26" s="1">
        <f t="shared" si="1"/>
        <v>5.3610338127386417</v>
      </c>
      <c r="AB26" s="1">
        <f>MAX(Inv_Sy[[#This Row],[G1 Inv1]:[IS1_Inv2]])</f>
        <v>5.5936453795843954</v>
      </c>
      <c r="AC26"/>
    </row>
    <row r="27" spans="1:29" ht="15" customHeight="1" x14ac:dyDescent="0.35">
      <c r="A27" s="321" t="s">
        <v>141</v>
      </c>
      <c r="B27" s="321"/>
      <c r="C27" s="67">
        <f>YEAR(RD[[#This Row],[Month Year]])</f>
        <v>2025</v>
      </c>
      <c r="D27" s="169" t="s">
        <v>142</v>
      </c>
      <c r="E27" s="171">
        <f t="shared" si="3"/>
        <v>45860</v>
      </c>
      <c r="F27" s="1">
        <f>VLOOKUP(Inv_Sy[[#This Row],[Date]],RD[#All],F$1,0)/F$2</f>
        <v>3.1724330357142856</v>
      </c>
      <c r="G27" s="1">
        <f>VLOOKUP(Inv_Sy[[#This Row],[Date]],RD[#All],G$1,0)/G$2</f>
        <v>3.2405598958333335</v>
      </c>
      <c r="H27" s="1">
        <f>VLOOKUP(Inv_Sy[[#This Row],[Date]],RD[#All],H$1,0)/H$2</f>
        <v>3.175223214285714</v>
      </c>
      <c r="I27" s="1">
        <f>VLOOKUP(Inv_Sy[[#This Row],[Date]],RD[#All],I$1,0)/I$2</f>
        <v>3.2348392348392347</v>
      </c>
      <c r="J27" s="1">
        <f>VLOOKUP(Inv_Sy[[#This Row],[Date]],RD[#All],J$1,0)/J$2</f>
        <v>3.1738782051282053</v>
      </c>
      <c r="K27" s="1">
        <f>VLOOKUP(Inv_Sy[[#This Row],[Date]],RD[#All],K$1,0)/K$2</f>
        <v>3.1433998100664766</v>
      </c>
      <c r="L27" s="1">
        <f>VLOOKUP(Inv_Sy[[#This Row],[Date]],RD[#All],L$1,0)/L$2</f>
        <v>3.3126022913256956</v>
      </c>
      <c r="M27" s="1">
        <f>VLOOKUP(Inv_Sy[[#This Row],[Date]],RD[#All],M$1,0)/M$2</f>
        <v>3.3045014880952381</v>
      </c>
      <c r="N27" s="1">
        <f>VLOOKUP(Inv_Sy[[#This Row],[Date]],RD[#All],N$1,0)/N$2</f>
        <v>3.279050736497545</v>
      </c>
      <c r="O27" s="1">
        <f>VLOOKUP(Inv_Sy[[#This Row],[Date]],RD[#All],O$1,0)/O$2</f>
        <v>3.2831101190476191</v>
      </c>
      <c r="P27" s="1">
        <f>AVERAGEIFS(Inv_Sy[[#This Row],[G1 Inv1]:[G5 Inv10]],Inv_Sy[[#This Row],[G1 Inv1]:[G5 Inv10]],"&lt;&gt;"&amp;0)</f>
        <v>3.2319598030833347</v>
      </c>
      <c r="Q27" s="1">
        <f>VLOOKUP(Inv_Sy[[#This Row],[Date]],RD[#All],Q$1,0)/Q$2</f>
        <v>3.6168478717504917</v>
      </c>
      <c r="R27" s="1">
        <f>VLOOKUP(Inv_Sy[[#This Row],[Date]],RD[#All],R$1,0)/R$2</f>
        <v>3.5713233127026238</v>
      </c>
      <c r="S27" s="1">
        <f>VLOOKUP(Inv_Sy[[#This Row],[Date]],RD[#All],S$1,0)/S$2</f>
        <v>3.7697584252907839</v>
      </c>
      <c r="T27" s="1">
        <f>VLOOKUP(Inv_Sy[[#This Row],[Date]],RD[#All],T$1,0)/T$2</f>
        <v>3.6938816334695512</v>
      </c>
      <c r="U27" s="1">
        <f>VLOOKUP(Inv_Sy[[#This Row],[Date]],RD[#All],U$1,0)/U$2</f>
        <v>3.6311302370899643</v>
      </c>
      <c r="V27" s="1">
        <f>VLOOKUP(Inv_Sy[[#This Row],[Date]],RD[#All],V$1,0)/V$2</f>
        <v>3.6522772343505516</v>
      </c>
      <c r="W27" s="1">
        <f>VLOOKUP(Inv_Sy[[#This Row],[Date]],RD[#All],W$1,0)/W$2</f>
        <v>3.5687565890967998</v>
      </c>
      <c r="X27" s="1">
        <f>VLOOKUP(Inv_Sy[[#This Row],[Date]],RD[#All],X$1,0)/X$2</f>
        <v>3.5474320389537302</v>
      </c>
      <c r="Y27" s="1">
        <f>VLOOKUP(Inv_Sy[[#This Row],[Date]],RD[#All],Y$1,0)/Y$2</f>
        <v>3.4065994525672934</v>
      </c>
      <c r="Z27" s="1">
        <f>VLOOKUP(Inv_Sy[[#This Row],[Date]],RD[#All],Z$1,0)/Z$2</f>
        <v>3.4209659820903995</v>
      </c>
      <c r="AA27" s="1">
        <f t="shared" si="1"/>
        <v>3.5878972777362192</v>
      </c>
      <c r="AB27" s="1">
        <f>MAX(Inv_Sy[[#This Row],[G1 Inv1]:[IS1_Inv2]])</f>
        <v>3.7697584252907839</v>
      </c>
      <c r="AC27"/>
    </row>
    <row r="28" spans="1:29" ht="15" customHeight="1" x14ac:dyDescent="0.35">
      <c r="A28" s="321" t="s">
        <v>141</v>
      </c>
      <c r="B28" s="321"/>
      <c r="C28" s="67">
        <f>YEAR(RD[[#This Row],[Month Year]])</f>
        <v>2025</v>
      </c>
      <c r="D28" s="169" t="s">
        <v>142</v>
      </c>
      <c r="E28" s="171">
        <f t="shared" si="3"/>
        <v>45861</v>
      </c>
      <c r="F28" s="1">
        <f>VLOOKUP(Inv_Sy[[#This Row],[Date]],RD[#All],F$1,0)/F$2</f>
        <v>2.180989583333333</v>
      </c>
      <c r="G28" s="1">
        <f>VLOOKUP(Inv_Sy[[#This Row],[Date]],RD[#All],G$1,0)/G$2</f>
        <v>2.17041015625</v>
      </c>
      <c r="H28" s="1">
        <f>VLOOKUP(Inv_Sy[[#This Row],[Date]],RD[#All],H$1,0)/H$2</f>
        <v>2.1968005952380953</v>
      </c>
      <c r="I28" s="1">
        <f>VLOOKUP(Inv_Sy[[#This Row],[Date]],RD[#All],I$1,0)/I$2</f>
        <v>2.1782661782661781</v>
      </c>
      <c r="J28" s="1">
        <f>VLOOKUP(Inv_Sy[[#This Row],[Date]],RD[#All],J$1,0)/J$2</f>
        <v>2.1899038461538463</v>
      </c>
      <c r="K28" s="1">
        <f>VLOOKUP(Inv_Sy[[#This Row],[Date]],RD[#All],K$1,0)/K$2</f>
        <v>2.1899335232668564</v>
      </c>
      <c r="L28" s="1">
        <f>VLOOKUP(Inv_Sy[[#This Row],[Date]],RD[#All],L$1,0)/L$2</f>
        <v>2.2217675941080195</v>
      </c>
      <c r="M28" s="1">
        <f>VLOOKUP(Inv_Sy[[#This Row],[Date]],RD[#All],M$1,0)/M$2</f>
        <v>2.2209821428571428</v>
      </c>
      <c r="N28" s="1">
        <f>VLOOKUP(Inv_Sy[[#This Row],[Date]],RD[#All],N$1,0)/N$2</f>
        <v>2.2127659574468086</v>
      </c>
      <c r="O28" s="1">
        <f>VLOOKUP(Inv_Sy[[#This Row],[Date]],RD[#All],O$1,0)/O$2</f>
        <v>2.2237723214285712</v>
      </c>
      <c r="P28" s="1">
        <f>AVERAGEIFS(Inv_Sy[[#This Row],[G1 Inv1]:[G5 Inv10]],Inv_Sy[[#This Row],[G1 Inv1]:[G5 Inv10]],"&lt;&gt;"&amp;0)</f>
        <v>2.1985591898348851</v>
      </c>
      <c r="Q28" s="1">
        <f>VLOOKUP(Inv_Sy[[#This Row],[Date]],RD[#All],Q$1,0)/Q$2</f>
        <v>2.4274479490497236</v>
      </c>
      <c r="R28" s="1">
        <f>VLOOKUP(Inv_Sy[[#This Row],[Date]],RD[#All],R$1,0)/R$2</f>
        <v>2.3736778334479487</v>
      </c>
      <c r="S28" s="1">
        <f>VLOOKUP(Inv_Sy[[#This Row],[Date]],RD[#All],S$1,0)/S$2</f>
        <v>2.5195011404544174</v>
      </c>
      <c r="T28" s="1">
        <f>VLOOKUP(Inv_Sy[[#This Row],[Date]],RD[#All],T$1,0)/T$2</f>
        <v>2.4503676245453168</v>
      </c>
      <c r="U28" s="1">
        <f>VLOOKUP(Inv_Sy[[#This Row],[Date]],RD[#All],U$1,0)/U$2</f>
        <v>2.4307405001623898</v>
      </c>
      <c r="V28" s="1">
        <f>VLOOKUP(Inv_Sy[[#This Row],[Date]],RD[#All],V$1,0)/V$2</f>
        <v>2.4590616606280702</v>
      </c>
      <c r="W28" s="1">
        <f>VLOOKUP(Inv_Sy[[#This Row],[Date]],RD[#All],W$1,0)/W$2</f>
        <v>2.4124133495609983</v>
      </c>
      <c r="X28" s="1">
        <f>VLOOKUP(Inv_Sy[[#This Row],[Date]],RD[#All],X$1,0)/X$2</f>
        <v>2.402717626236675</v>
      </c>
      <c r="Y28" s="1">
        <f>VLOOKUP(Inv_Sy[[#This Row],[Date]],RD[#All],Y$1,0)/Y$2</f>
        <v>2.4493487201353443</v>
      </c>
      <c r="Z28" s="1">
        <f>VLOOKUP(Inv_Sy[[#This Row],[Date]],RD[#All],Z$1,0)/Z$2</f>
        <v>2.4777744061876565</v>
      </c>
      <c r="AA28" s="1">
        <f t="shared" si="1"/>
        <v>2.440305081040854</v>
      </c>
      <c r="AB28" s="1">
        <f>MAX(Inv_Sy[[#This Row],[G1 Inv1]:[IS1_Inv2]])</f>
        <v>2.5195011404544174</v>
      </c>
      <c r="AC28"/>
    </row>
    <row r="29" spans="1:29" ht="15" customHeight="1" x14ac:dyDescent="0.35">
      <c r="A29" s="321" t="s">
        <v>141</v>
      </c>
      <c r="B29" s="321"/>
      <c r="C29" s="67">
        <f>YEAR(RD[[#This Row],[Month Year]])</f>
        <v>2025</v>
      </c>
      <c r="D29" s="169" t="s">
        <v>142</v>
      </c>
      <c r="E29" s="171">
        <f t="shared" si="3"/>
        <v>45862</v>
      </c>
      <c r="F29" s="1">
        <f>VLOOKUP(Inv_Sy[[#This Row],[Date]],RD[#All],F$1,0)/F$2</f>
        <v>2.6116071428571428</v>
      </c>
      <c r="G29" s="1">
        <f>VLOOKUP(Inv_Sy[[#This Row],[Date]],RD[#All],G$1,0)/G$2</f>
        <v>2.574869791666667</v>
      </c>
      <c r="H29" s="1">
        <f>VLOOKUP(Inv_Sy[[#This Row],[Date]],RD[#All],H$1,0)/H$2</f>
        <v>2.6329985119047619</v>
      </c>
      <c r="I29" s="1">
        <f>VLOOKUP(Inv_Sy[[#This Row],[Date]],RD[#All],I$1,0)/I$2</f>
        <v>2.5624745624745624</v>
      </c>
      <c r="J29" s="1">
        <f>VLOOKUP(Inv_Sy[[#This Row],[Date]],RD[#All],J$1,0)/J$2</f>
        <v>2.5905448717948718</v>
      </c>
      <c r="K29" s="1">
        <f>VLOOKUP(Inv_Sy[[#This Row],[Date]],RD[#All],K$1,0)/K$2</f>
        <v>2.5916429249762585</v>
      </c>
      <c r="L29" s="1">
        <f>VLOOKUP(Inv_Sy[[#This Row],[Date]],RD[#All],L$1,0)/L$2</f>
        <v>2.6677577741407528</v>
      </c>
      <c r="M29" s="1">
        <f>VLOOKUP(Inv_Sy[[#This Row],[Date]],RD[#All],M$1,0)/M$2</f>
        <v>2.6581101190476191</v>
      </c>
      <c r="N29" s="1">
        <f>VLOOKUP(Inv_Sy[[#This Row],[Date]],RD[#All],N$1,0)/N$2</f>
        <v>2.6513911620294599</v>
      </c>
      <c r="O29" s="1">
        <f>VLOOKUP(Inv_Sy[[#This Row],[Date]],RD[#All],O$1,0)/O$2</f>
        <v>2.6255580357142856</v>
      </c>
      <c r="P29" s="1">
        <f>AVERAGEIFS(Inv_Sy[[#This Row],[G1 Inv1]:[G5 Inv10]],Inv_Sy[[#This Row],[G1 Inv1]:[G5 Inv10]],"&lt;&gt;"&amp;0)</f>
        <v>2.6166954896606383</v>
      </c>
      <c r="Q29" s="1">
        <f>VLOOKUP(Inv_Sy[[#This Row],[Date]],RD[#All],Q$1,0)/Q$2</f>
        <v>2.9901359458233214</v>
      </c>
      <c r="R29" s="1">
        <f>VLOOKUP(Inv_Sy[[#This Row],[Date]],RD[#All],R$1,0)/R$2</f>
        <v>2.9144971673707309</v>
      </c>
      <c r="S29" s="1">
        <f>VLOOKUP(Inv_Sy[[#This Row],[Date]],RD[#All],S$1,0)/S$2</f>
        <v>3.0721279661266134</v>
      </c>
      <c r="T29" s="1">
        <f>VLOOKUP(Inv_Sy[[#This Row],[Date]],RD[#All],T$1,0)/T$2</f>
        <v>2.984025376503872</v>
      </c>
      <c r="U29" s="1">
        <f>VLOOKUP(Inv_Sy[[#This Row],[Date]],RD[#All],U$1,0)/U$2</f>
        <v>2.9706073400454689</v>
      </c>
      <c r="V29" s="1">
        <f>VLOOKUP(Inv_Sy[[#This Row],[Date]],RD[#All],V$1,0)/V$2</f>
        <v>3.0185174338334355</v>
      </c>
      <c r="W29" s="1">
        <f>VLOOKUP(Inv_Sy[[#This Row],[Date]],RD[#All],W$1,0)/W$2</f>
        <v>2.9634755424938231</v>
      </c>
      <c r="X29" s="1">
        <f>VLOOKUP(Inv_Sy[[#This Row],[Date]],RD[#All],X$1,0)/X$2</f>
        <v>2.9491790843915928</v>
      </c>
      <c r="Y29" s="1">
        <f>VLOOKUP(Inv_Sy[[#This Row],[Date]],RD[#All],Y$1,0)/Y$2</f>
        <v>2.9003617457326376</v>
      </c>
      <c r="Z29" s="1">
        <f>VLOOKUP(Inv_Sy[[#This Row],[Date]],RD[#All],Z$1,0)/Z$2</f>
        <v>2.9022073872256899</v>
      </c>
      <c r="AA29" s="1">
        <f t="shared" si="1"/>
        <v>2.9665134989547184</v>
      </c>
      <c r="AB29" s="1">
        <f>MAX(Inv_Sy[[#This Row],[G1 Inv1]:[IS1_Inv2]])</f>
        <v>3.0721279661266134</v>
      </c>
      <c r="AC29"/>
    </row>
    <row r="30" spans="1:29" ht="15" customHeight="1" x14ac:dyDescent="0.35">
      <c r="A30" s="321" t="s">
        <v>141</v>
      </c>
      <c r="B30" s="321"/>
      <c r="C30" s="67">
        <f>YEAR(RD[[#This Row],[Month Year]])</f>
        <v>2025</v>
      </c>
      <c r="D30" s="169" t="s">
        <v>142</v>
      </c>
      <c r="E30" s="171">
        <f t="shared" si="3"/>
        <v>45863</v>
      </c>
      <c r="F30" s="1">
        <f>VLOOKUP(Inv_Sy[[#This Row],[Date]],RD[#All],F$1,0)/F$2</f>
        <v>1.3309151785714286</v>
      </c>
      <c r="G30" s="1">
        <f>VLOOKUP(Inv_Sy[[#This Row],[Date]],RD[#All],G$1,0)/G$2</f>
        <v>1.3289388020833335</v>
      </c>
      <c r="H30" s="1">
        <f>VLOOKUP(Inv_Sy[[#This Row],[Date]],RD[#All],H$1,0)/H$2</f>
        <v>1.3244047619047619</v>
      </c>
      <c r="I30" s="1">
        <f>VLOOKUP(Inv_Sy[[#This Row],[Date]],RD[#All],I$1,0)/I$2</f>
        <v>1.3015873015873016</v>
      </c>
      <c r="J30" s="1">
        <f>VLOOKUP(Inv_Sy[[#This Row],[Date]],RD[#All],J$1,0)/J$2</f>
        <v>1.3197115384615385</v>
      </c>
      <c r="K30" s="1">
        <f>VLOOKUP(Inv_Sy[[#This Row],[Date]],RD[#All],K$1,0)/K$2</f>
        <v>1.328584995251662</v>
      </c>
      <c r="L30" s="1">
        <f>VLOOKUP(Inv_Sy[[#This Row],[Date]],RD[#All],L$1,0)/L$2</f>
        <v>1.3314238952536825</v>
      </c>
      <c r="M30" s="1">
        <f>VLOOKUP(Inv_Sy[[#This Row],[Date]],RD[#All],M$1,0)/M$2</f>
        <v>1.3504464285714286</v>
      </c>
      <c r="N30" s="1">
        <f>VLOOKUP(Inv_Sy[[#This Row],[Date]],RD[#All],N$1,0)/N$2</f>
        <v>1.3510638297872339</v>
      </c>
      <c r="O30" s="1">
        <f>VLOOKUP(Inv_Sy[[#This Row],[Date]],RD[#All],O$1,0)/O$2</f>
        <v>1.353236607142857</v>
      </c>
      <c r="P30" s="1">
        <f>AVERAGEIFS(Inv_Sy[[#This Row],[G1 Inv1]:[G5 Inv10]],Inv_Sy[[#This Row],[G1 Inv1]:[G5 Inv10]],"&lt;&gt;"&amp;0)</f>
        <v>1.3320313338615228</v>
      </c>
      <c r="Q30" s="1">
        <f>VLOOKUP(Inv_Sy[[#This Row],[Date]],RD[#All],Q$1,0)/Q$2</f>
        <v>1.484985464383539</v>
      </c>
      <c r="R30" s="1">
        <f>VLOOKUP(Inv_Sy[[#This Row],[Date]],RD[#All],R$1,0)/R$2</f>
        <v>1.443249173134231</v>
      </c>
      <c r="S30" s="1">
        <f>VLOOKUP(Inv_Sy[[#This Row],[Date]],RD[#All],S$1,0)/S$2</f>
        <v>1.5202698445369502</v>
      </c>
      <c r="T30" s="1">
        <f>VLOOKUP(Inv_Sy[[#This Row],[Date]],RD[#All],T$1,0)/T$2</f>
        <v>1.477519993794677</v>
      </c>
      <c r="U30" s="1">
        <f>VLOOKUP(Inv_Sy[[#This Row],[Date]],RD[#All],U$1,0)/U$2</f>
        <v>1.4715816823644039</v>
      </c>
      <c r="V30" s="1">
        <f>VLOOKUP(Inv_Sy[[#This Row],[Date]],RD[#All],V$1,0)/V$2</f>
        <v>1.4943644411717947</v>
      </c>
      <c r="W30" s="1">
        <f>VLOOKUP(Inv_Sy[[#This Row],[Date]],RD[#All],W$1,0)/W$2</f>
        <v>1.4797025289920258</v>
      </c>
      <c r="X30" s="1">
        <f>VLOOKUP(Inv_Sy[[#This Row],[Date]],RD[#All],X$1,0)/X$2</f>
        <v>1.4743040772549691</v>
      </c>
      <c r="Y30" s="1">
        <f>VLOOKUP(Inv_Sy[[#This Row],[Date]],RD[#All],Y$1,0)/Y$2</f>
        <v>1.443681828810365</v>
      </c>
      <c r="Z30" s="1">
        <f>VLOOKUP(Inv_Sy[[#This Row],[Date]],RD[#All],Z$1,0)/Z$2</f>
        <v>1.4504580699726897</v>
      </c>
      <c r="AA30" s="1">
        <f t="shared" si="1"/>
        <v>1.4740117104415646</v>
      </c>
      <c r="AB30" s="1">
        <f>MAX(Inv_Sy[[#This Row],[G1 Inv1]:[IS1_Inv2]])</f>
        <v>1.5202698445369502</v>
      </c>
      <c r="AC30"/>
    </row>
    <row r="31" spans="1:29" ht="15" customHeight="1" x14ac:dyDescent="0.35">
      <c r="A31" s="321" t="s">
        <v>141</v>
      </c>
      <c r="B31" s="321"/>
      <c r="C31" s="67">
        <f>YEAR(RD[[#This Row],[Month Year]])</f>
        <v>2025</v>
      </c>
      <c r="D31" s="169" t="s">
        <v>142</v>
      </c>
      <c r="E31" s="171">
        <f t="shared" si="3"/>
        <v>45864</v>
      </c>
      <c r="F31" s="1">
        <f>VLOOKUP(Inv_Sy[[#This Row],[Date]],RD[#All],F$1,0)/F$2</f>
        <v>0.94866071428571419</v>
      </c>
      <c r="G31" s="1">
        <f>VLOOKUP(Inv_Sy[[#This Row],[Date]],RD[#All],G$1,0)/G$2</f>
        <v>0.94156901041666674</v>
      </c>
      <c r="H31" s="1">
        <f>VLOOKUP(Inv_Sy[[#This Row],[Date]],RD[#All],H$1,0)/H$2</f>
        <v>0.93843005952380953</v>
      </c>
      <c r="I31" s="1">
        <f>VLOOKUP(Inv_Sy[[#This Row],[Date]],RD[#All],I$1,0)/I$2</f>
        <v>0.9263329263329263</v>
      </c>
      <c r="J31" s="1">
        <f>VLOOKUP(Inv_Sy[[#This Row],[Date]],RD[#All],J$1,0)/J$2</f>
        <v>0.24038461538461539</v>
      </c>
      <c r="K31" s="1">
        <f>VLOOKUP(Inv_Sy[[#This Row],[Date]],RD[#All],K$1,0)/K$2</f>
        <v>0.28490028490028491</v>
      </c>
      <c r="L31" s="1">
        <f>VLOOKUP(Inv_Sy[[#This Row],[Date]],RD[#All],L$1,0)/L$2</f>
        <v>1.1399345335515547</v>
      </c>
      <c r="M31" s="1">
        <f>VLOOKUP(Inv_Sy[[#This Row],[Date]],RD[#All],M$1,0)/M$2</f>
        <v>1.1635044642857142</v>
      </c>
      <c r="N31" s="1">
        <f>VLOOKUP(Inv_Sy[[#This Row],[Date]],RD[#All],N$1,0)/N$2</f>
        <v>1.1415711947626841</v>
      </c>
      <c r="O31" s="1">
        <f>VLOOKUP(Inv_Sy[[#This Row],[Date]],RD[#All],O$1,0)/O$2</f>
        <v>1.1365327380952381</v>
      </c>
      <c r="P31" s="1">
        <f>AVERAGEIFS(Inv_Sy[[#This Row],[G1 Inv1]:[G5 Inv10]],Inv_Sy[[#This Row],[G1 Inv1]:[G5 Inv10]],"&lt;&gt;"&amp;0)</f>
        <v>0.88618205415392093</v>
      </c>
      <c r="Q31" s="1">
        <f>VLOOKUP(Inv_Sy[[#This Row],[Date]],RD[#All],Q$1,0)/Q$2</f>
        <v>1.2731687643885801</v>
      </c>
      <c r="R31" s="1">
        <f>VLOOKUP(Inv_Sy[[#This Row],[Date]],RD[#All],R$1,0)/R$2</f>
        <v>1.2417722762550349</v>
      </c>
      <c r="S31" s="1">
        <f>VLOOKUP(Inv_Sy[[#This Row],[Date]],RD[#All],S$1,0)/S$2</f>
        <v>1.3150300550694562</v>
      </c>
      <c r="T31" s="1">
        <f>VLOOKUP(Inv_Sy[[#This Row],[Date]],RD[#All],T$1,0)/T$2</f>
        <v>1.2785414225702283</v>
      </c>
      <c r="U31" s="1">
        <f>VLOOKUP(Inv_Sy[[#This Row],[Date]],RD[#All],U$1,0)/U$2</f>
        <v>1.2714355310165637</v>
      </c>
      <c r="V31" s="1">
        <f>VLOOKUP(Inv_Sy[[#This Row],[Date]],RD[#All],V$1,0)/V$2</f>
        <v>1.2856772293300087</v>
      </c>
      <c r="W31" s="1">
        <f>VLOOKUP(Inv_Sy[[#This Row],[Date]],RD[#All],W$1,0)/W$2</f>
        <v>1.2698283476682228</v>
      </c>
      <c r="X31" s="1">
        <f>VLOOKUP(Inv_Sy[[#This Row],[Date]],RD[#All],X$1,0)/X$2</f>
        <v>1.2662409160977759</v>
      </c>
      <c r="Y31" s="1">
        <f>VLOOKUP(Inv_Sy[[#This Row],[Date]],RD[#All],Y$1,0)/Y$2</f>
        <v>1.2863980853609889</v>
      </c>
      <c r="Z31" s="1">
        <f>VLOOKUP(Inv_Sy[[#This Row],[Date]],RD[#All],Z$1,0)/Z$2</f>
        <v>1.3071296218582336</v>
      </c>
      <c r="AA31" s="1">
        <f t="shared" si="1"/>
        <v>1.2795222249615095</v>
      </c>
      <c r="AB31" s="1">
        <f>MAX(Inv_Sy[[#This Row],[G1 Inv1]:[IS1_Inv2]])</f>
        <v>1.3150300550694562</v>
      </c>
      <c r="AC31"/>
    </row>
    <row r="32" spans="1:29" ht="15" customHeight="1" x14ac:dyDescent="0.35">
      <c r="A32" s="321" t="s">
        <v>141</v>
      </c>
      <c r="B32" s="321"/>
      <c r="C32" s="67">
        <f>YEAR(RD[[#This Row],[Month Year]])</f>
        <v>2025</v>
      </c>
      <c r="D32" s="169" t="s">
        <v>142</v>
      </c>
      <c r="E32" s="171">
        <f t="shared" si="3"/>
        <v>45865</v>
      </c>
      <c r="F32" s="1">
        <f>VLOOKUP(Inv_Sy[[#This Row],[Date]],RD[#All],F$1,0)/F$2</f>
        <v>2.4042038690476191</v>
      </c>
      <c r="G32" s="1">
        <f>VLOOKUP(Inv_Sy[[#This Row],[Date]],RD[#All],G$1,0)/G$2</f>
        <v>1.1271158854166667</v>
      </c>
      <c r="H32" s="1">
        <f>VLOOKUP(Inv_Sy[[#This Row],[Date]],RD[#All],H$1,0)/H$2</f>
        <v>2.4051339285714284</v>
      </c>
      <c r="I32" s="1">
        <f>VLOOKUP(Inv_Sy[[#This Row],[Date]],RD[#All],I$1,0)/I$2</f>
        <v>2.3866503866503868</v>
      </c>
      <c r="J32" s="1">
        <f>VLOOKUP(Inv_Sy[[#This Row],[Date]],RD[#All],J$1,0)/J$2</f>
        <v>0.24679487179487181</v>
      </c>
      <c r="K32" s="1">
        <f>VLOOKUP(Inv_Sy[[#This Row],[Date]],RD[#All],K$1,0)/K$2</f>
        <v>0.24881291547958215</v>
      </c>
      <c r="L32" s="1">
        <f>VLOOKUP(Inv_Sy[[#This Row],[Date]],RD[#All],L$1,0)/L$2</f>
        <v>2.4615384615384617</v>
      </c>
      <c r="M32" s="1">
        <f>VLOOKUP(Inv_Sy[[#This Row],[Date]],RD[#All],M$1,0)/M$2</f>
        <v>2.4237351190476191</v>
      </c>
      <c r="N32" s="1">
        <f>VLOOKUP(Inv_Sy[[#This Row],[Date]],RD[#All],N$1,0)/N$2</f>
        <v>2.4639934533551555</v>
      </c>
      <c r="O32" s="1">
        <f>VLOOKUP(Inv_Sy[[#This Row],[Date]],RD[#All],O$1,0)/O$2</f>
        <v>2.4600074404761902</v>
      </c>
      <c r="P32" s="1">
        <f>AVERAGEIFS(Inv_Sy[[#This Row],[G1 Inv1]:[G5 Inv10]],Inv_Sy[[#This Row],[G1 Inv1]:[G5 Inv10]],"&lt;&gt;"&amp;0)</f>
        <v>1.8627986331377979</v>
      </c>
      <c r="Q32" s="1">
        <f>VLOOKUP(Inv_Sy[[#This Row],[Date]],RD[#All],Q$1,0)/Q$2</f>
        <v>2.7184123409904388</v>
      </c>
      <c r="R32" s="1">
        <f>VLOOKUP(Inv_Sy[[#This Row],[Date]],RD[#All],R$1,0)/R$2</f>
        <v>2.6540753839604418</v>
      </c>
      <c r="S32" s="1">
        <f>VLOOKUP(Inv_Sy[[#This Row],[Date]],RD[#All],S$1,0)/S$2</f>
        <v>2.809088350562666</v>
      </c>
      <c r="T32" s="1">
        <f>VLOOKUP(Inv_Sy[[#This Row],[Date]],RD[#All],T$1,0)/T$2</f>
        <v>2.7343427869247319</v>
      </c>
      <c r="U32" s="1">
        <f>VLOOKUP(Inv_Sy[[#This Row],[Date]],RD[#All],U$1,0)/U$2</f>
        <v>2.7098895745371872</v>
      </c>
      <c r="V32" s="1">
        <f>VLOOKUP(Inv_Sy[[#This Row],[Date]],RD[#All],V$1,0)/V$2</f>
        <v>2.7405467370658276</v>
      </c>
      <c r="W32" s="1">
        <f>VLOOKUP(Inv_Sy[[#This Row],[Date]],RD[#All],W$1,0)/W$2</f>
        <v>2.6932767807352112</v>
      </c>
      <c r="X32" s="1">
        <f>VLOOKUP(Inv_Sy[[#This Row],[Date]],RD[#All],X$1,0)/X$2</f>
        <v>2.6843491807156199</v>
      </c>
      <c r="Y32" s="1">
        <f>VLOOKUP(Inv_Sy[[#This Row],[Date]],RD[#All],Y$1,0)/Y$2</f>
        <v>2.5184655378732645</v>
      </c>
      <c r="Z32" s="1">
        <f>VLOOKUP(Inv_Sy[[#This Row],[Date]],RD[#All],Z$1,0)/Z$2</f>
        <v>2.7507440812452786</v>
      </c>
      <c r="AA32" s="1">
        <f t="shared" si="1"/>
        <v>2.701319075461067</v>
      </c>
      <c r="AB32" s="1">
        <f>MAX(Inv_Sy[[#This Row],[G1 Inv1]:[IS1_Inv2]])</f>
        <v>2.809088350562666</v>
      </c>
      <c r="AC32"/>
    </row>
    <row r="33" spans="1:29" ht="15" customHeight="1" x14ac:dyDescent="0.35">
      <c r="A33" s="321" t="s">
        <v>141</v>
      </c>
      <c r="B33" s="321"/>
      <c r="C33" s="67">
        <f>YEAR(RD[[#This Row],[Month Year]])</f>
        <v>2025</v>
      </c>
      <c r="D33" s="169" t="s">
        <v>142</v>
      </c>
      <c r="E33" s="171">
        <f t="shared" si="3"/>
        <v>45866</v>
      </c>
      <c r="F33" s="1">
        <f>VLOOKUP(Inv_Sy[[#This Row],[Date]],RD[#All],F$1,0)/F$2</f>
        <v>3.6058407738095237</v>
      </c>
      <c r="G33" s="1">
        <f>VLOOKUP(Inv_Sy[[#This Row],[Date]],RD[#All],G$1,0)/G$2</f>
        <v>3.5335286458333335</v>
      </c>
      <c r="H33" s="1">
        <f>VLOOKUP(Inv_Sy[[#This Row],[Date]],RD[#All],H$1,0)/H$2</f>
        <v>3.59375</v>
      </c>
      <c r="I33" s="1">
        <f>VLOOKUP(Inv_Sy[[#This Row],[Date]],RD[#All],I$1,0)/I$2</f>
        <v>3.5856735856735855</v>
      </c>
      <c r="J33" s="1">
        <f>VLOOKUP(Inv_Sy[[#This Row],[Date]],RD[#All],J$1,0)/J$2</f>
        <v>3.6065705128205128</v>
      </c>
      <c r="K33" s="1">
        <f>VLOOKUP(Inv_Sy[[#This Row],[Date]],RD[#All],K$1,0)/K$2</f>
        <v>3.6087369420702755</v>
      </c>
      <c r="L33" s="1">
        <f>VLOOKUP(Inv_Sy[[#This Row],[Date]],RD[#All],L$1,0)/L$2</f>
        <v>3.6685761047463177</v>
      </c>
      <c r="M33" s="1">
        <f>VLOOKUP(Inv_Sy[[#This Row],[Date]],RD[#All],M$1,0)/M$2</f>
        <v>3.6569940476190474</v>
      </c>
      <c r="N33" s="1">
        <f>VLOOKUP(Inv_Sy[[#This Row],[Date]],RD[#All],N$1,0)/N$2</f>
        <v>3.5433715220949265</v>
      </c>
      <c r="O33" s="1">
        <f>VLOOKUP(Inv_Sy[[#This Row],[Date]],RD[#All],O$1,0)/O$2</f>
        <v>3.6597842261904758</v>
      </c>
      <c r="P33" s="1">
        <f>AVERAGEIFS(Inv_Sy[[#This Row],[G1 Inv1]:[G5 Inv10]],Inv_Sy[[#This Row],[G1 Inv1]:[G5 Inv10]],"&lt;&gt;"&amp;0)</f>
        <v>3.6062826360857998</v>
      </c>
      <c r="Q33" s="1">
        <f>VLOOKUP(Inv_Sy[[#This Row],[Date]],RD[#All],Q$1,0)/Q$2</f>
        <v>4.1054294308423938</v>
      </c>
      <c r="R33" s="1">
        <f>VLOOKUP(Inv_Sy[[#This Row],[Date]],RD[#All],R$1,0)/R$2</f>
        <v>3.9845105937059966</v>
      </c>
      <c r="S33" s="1">
        <f>VLOOKUP(Inv_Sy[[#This Row],[Date]],RD[#All],S$1,0)/S$2</f>
        <v>4.2072896670209143</v>
      </c>
      <c r="T33" s="1">
        <f>VLOOKUP(Inv_Sy[[#This Row],[Date]],RD[#All],T$1,0)/T$2</f>
        <v>4.0799996734040684</v>
      </c>
      <c r="U33" s="1">
        <f>VLOOKUP(Inv_Sy[[#This Row],[Date]],RD[#All],U$1,0)/U$2</f>
        <v>4.0542383890873657</v>
      </c>
      <c r="V33" s="1">
        <f>VLOOKUP(Inv_Sy[[#This Row],[Date]],RD[#All],V$1,0)/V$2</f>
        <v>4.1411943870336128</v>
      </c>
      <c r="W33" s="1">
        <f>VLOOKUP(Inv_Sy[[#This Row],[Date]],RD[#All],W$1,0)/W$2</f>
        <v>4.0773229237476132</v>
      </c>
      <c r="X33" s="1">
        <f>VLOOKUP(Inv_Sy[[#This Row],[Date]],RD[#All],X$1,0)/X$2</f>
        <v>4.0842692505321887</v>
      </c>
      <c r="Y33" s="1">
        <f>VLOOKUP(Inv_Sy[[#This Row],[Date]],RD[#All],Y$1,0)/Y$2</f>
        <v>3.9895190019669053</v>
      </c>
      <c r="Z33" s="1">
        <f>VLOOKUP(Inv_Sy[[#This Row],[Date]],RD[#All],Z$1,0)/Z$2</f>
        <v>3.9652912731052554</v>
      </c>
      <c r="AA33" s="1">
        <f t="shared" si="1"/>
        <v>4.0689064590446318</v>
      </c>
      <c r="AB33" s="1">
        <f>MAX(Inv_Sy[[#This Row],[G1 Inv1]:[IS1_Inv2]])</f>
        <v>4.2072896670209143</v>
      </c>
      <c r="AC33"/>
    </row>
    <row r="34" spans="1:29" ht="15" customHeight="1" x14ac:dyDescent="0.35">
      <c r="A34" s="321" t="s">
        <v>141</v>
      </c>
      <c r="B34" s="321"/>
      <c r="C34" s="67">
        <f>YEAR(RD[[#This Row],[Month Year]])</f>
        <v>2025</v>
      </c>
      <c r="D34" s="169" t="s">
        <v>142</v>
      </c>
      <c r="E34" s="171">
        <f t="shared" si="3"/>
        <v>45867</v>
      </c>
      <c r="F34" s="1">
        <f>VLOOKUP(Inv_Sy[[#This Row],[Date]],RD[#All],F$1,0)/F$2</f>
        <v>2.0535714285714284</v>
      </c>
      <c r="G34" s="1">
        <f>VLOOKUP(Inv_Sy[[#This Row],[Date]],RD[#All],G$1,0)/G$2</f>
        <v>2.032877604166667</v>
      </c>
      <c r="H34" s="1">
        <f>VLOOKUP(Inv_Sy[[#This Row],[Date]],RD[#All],H$1,0)/H$2</f>
        <v>2.0972842261904763</v>
      </c>
      <c r="I34" s="1">
        <f>VLOOKUP(Inv_Sy[[#This Row],[Date]],RD[#All],I$1,0)/I$2</f>
        <v>2.0903540903540905</v>
      </c>
      <c r="J34" s="1">
        <f>VLOOKUP(Inv_Sy[[#This Row],[Date]],RD[#All],J$1,0)/J$2</f>
        <v>2.0865384615384617</v>
      </c>
      <c r="K34" s="1">
        <f>VLOOKUP(Inv_Sy[[#This Row],[Date]],RD[#All],K$1,0)/K$2</f>
        <v>2.1044634377967713</v>
      </c>
      <c r="L34" s="1">
        <f>VLOOKUP(Inv_Sy[[#This Row],[Date]],RD[#All],L$1,0)/L$2</f>
        <v>2.1080196399345335</v>
      </c>
      <c r="M34" s="1">
        <f>VLOOKUP(Inv_Sy[[#This Row],[Date]],RD[#All],M$1,0)/M$2</f>
        <v>2.1168154761904763</v>
      </c>
      <c r="N34" s="1">
        <f>VLOOKUP(Inv_Sy[[#This Row],[Date]],RD[#All],N$1,0)/N$2</f>
        <v>2.078559738134206</v>
      </c>
      <c r="O34" s="1">
        <f>VLOOKUP(Inv_Sy[[#This Row],[Date]],RD[#All],O$1,0)/O$2</f>
        <v>2.0991443452380953</v>
      </c>
      <c r="P34" s="1">
        <f>AVERAGEIFS(Inv_Sy[[#This Row],[G1 Inv1]:[G5 Inv10]],Inv_Sy[[#This Row],[G1 Inv1]:[G5 Inv10]],"&lt;&gt;"&amp;0)</f>
        <v>2.0867628448115201</v>
      </c>
      <c r="Q34" s="1">
        <f>VLOOKUP(Inv_Sy[[#This Row],[Date]],RD[#All],Q$1,0)/Q$2</f>
        <v>2.4147607924851706</v>
      </c>
      <c r="R34" s="1">
        <f>VLOOKUP(Inv_Sy[[#This Row],[Date]],RD[#All],R$1,0)/R$2</f>
        <v>2.3519828404885881</v>
      </c>
      <c r="S34" s="1">
        <f>VLOOKUP(Inv_Sy[[#This Row],[Date]],RD[#All],S$1,0)/S$2</f>
        <v>2.4847204311463771</v>
      </c>
      <c r="T34" s="1">
        <f>VLOOKUP(Inv_Sy[[#This Row],[Date]],RD[#All],T$1,0)/T$2</f>
        <v>2.4141154761564554</v>
      </c>
      <c r="U34" s="1">
        <f>VLOOKUP(Inv_Sy[[#This Row],[Date]],RD[#All],U$1,0)/U$2</f>
        <v>2.3983436180578108</v>
      </c>
      <c r="V34" s="1">
        <f>VLOOKUP(Inv_Sy[[#This Row],[Date]],RD[#All],V$1,0)/V$2</f>
        <v>2.4334568944598316</v>
      </c>
      <c r="W34" s="1">
        <f>VLOOKUP(Inv_Sy[[#This Row],[Date]],RD[#All],W$1,0)/W$2</f>
        <v>2.3932006626748779</v>
      </c>
      <c r="X34" s="1">
        <f>VLOOKUP(Inv_Sy[[#This Row],[Date]],RD[#All],X$1,0)/X$2</f>
        <v>2.3903202916636079</v>
      </c>
      <c r="Y34" s="1">
        <f>VLOOKUP(Inv_Sy[[#This Row],[Date]],RD[#All],Y$1,0)/Y$2</f>
        <v>2.3758304334071489</v>
      </c>
      <c r="Z34" s="1">
        <f>VLOOKUP(Inv_Sy[[#This Row],[Date]],RD[#All],Z$1,0)/Z$2</f>
        <v>2.3891302803943466</v>
      </c>
      <c r="AA34" s="1">
        <f t="shared" si="1"/>
        <v>2.4045861720934214</v>
      </c>
      <c r="AB34" s="1">
        <f>MAX(Inv_Sy[[#This Row],[G1 Inv1]:[IS1_Inv2]])</f>
        <v>2.4847204311463771</v>
      </c>
      <c r="AC34"/>
    </row>
    <row r="35" spans="1:29" ht="15" customHeight="1" x14ac:dyDescent="0.35">
      <c r="A35" s="321" t="s">
        <v>141</v>
      </c>
      <c r="B35" s="321"/>
      <c r="C35" s="67">
        <f>YEAR(RD[[#This Row],[Month Year]])</f>
        <v>2025</v>
      </c>
      <c r="D35" s="169" t="s">
        <v>142</v>
      </c>
      <c r="E35" s="171">
        <f t="shared" si="3"/>
        <v>45868</v>
      </c>
      <c r="F35" s="1">
        <f>VLOOKUP(Inv_Sy[[#This Row],[Date]],RD[#All],F$1,0)/F$2</f>
        <v>2.2033110119047619</v>
      </c>
      <c r="G35" s="1">
        <f>VLOOKUP(Inv_Sy[[#This Row],[Date]],RD[#All],G$1,0)/G$2</f>
        <v>2.157389322916667</v>
      </c>
      <c r="H35" s="1">
        <f>VLOOKUP(Inv_Sy[[#This Row],[Date]],RD[#All],H$1,0)/H$2</f>
        <v>2.2023809523809521</v>
      </c>
      <c r="I35" s="1">
        <f>VLOOKUP(Inv_Sy[[#This Row],[Date]],RD[#All],I$1,0)/I$2</f>
        <v>2.1994301994301995</v>
      </c>
      <c r="J35" s="1">
        <f>VLOOKUP(Inv_Sy[[#This Row],[Date]],RD[#All],J$1,0)/J$2</f>
        <v>2.2291666666666665</v>
      </c>
      <c r="K35" s="1">
        <f>VLOOKUP(Inv_Sy[[#This Row],[Date]],RD[#All],K$1,0)/K$2</f>
        <v>2.1899335232668564</v>
      </c>
      <c r="L35" s="1">
        <f>VLOOKUP(Inv_Sy[[#This Row],[Date]],RD[#All],L$1,0)/L$2</f>
        <v>2.2348608837970541</v>
      </c>
      <c r="M35" s="1">
        <f>VLOOKUP(Inv_Sy[[#This Row],[Date]],RD[#All],M$1,0)/M$2</f>
        <v>2.2563244047619047</v>
      </c>
      <c r="N35" s="1">
        <f>VLOOKUP(Inv_Sy[[#This Row],[Date]],RD[#All],N$1,0)/N$2</f>
        <v>2.1841243862520456</v>
      </c>
      <c r="O35" s="1">
        <f>VLOOKUP(Inv_Sy[[#This Row],[Date]],RD[#All],O$1,0)/O$2</f>
        <v>2.1977306547619047</v>
      </c>
      <c r="P35" s="1">
        <f>AVERAGEIFS(Inv_Sy[[#This Row],[G1 Inv1]:[G5 Inv10]],Inv_Sy[[#This Row],[G1 Inv1]:[G5 Inv10]],"&lt;&gt;"&amp;0)</f>
        <v>2.2054652006139013</v>
      </c>
      <c r="Q35" s="1">
        <f>VLOOKUP(Inv_Sy[[#This Row],[Date]],RD[#All],Q$1,0)/Q$2</f>
        <v>2.5777613470231397</v>
      </c>
      <c r="R35" s="1">
        <f>VLOOKUP(Inv_Sy[[#This Row],[Date]],RD[#All],R$1,0)/R$2</f>
        <v>2.512280184693978</v>
      </c>
      <c r="S35" s="1">
        <f>VLOOKUP(Inv_Sy[[#This Row],[Date]],RD[#All],S$1,0)/S$2</f>
        <v>2.6493827264211571</v>
      </c>
      <c r="T35" s="1">
        <f>VLOOKUP(Inv_Sy[[#This Row],[Date]],RD[#All],T$1,0)/T$2</f>
        <v>2.5747190254377403</v>
      </c>
      <c r="U35" s="1">
        <f>VLOOKUP(Inv_Sy[[#This Row],[Date]],RD[#All],U$1,0)/U$2</f>
        <v>2.555131536213056</v>
      </c>
      <c r="V35" s="1">
        <f>VLOOKUP(Inv_Sy[[#This Row],[Date]],RD[#All],V$1,0)/V$2</f>
        <v>2.5920223581487587</v>
      </c>
      <c r="W35" s="1">
        <f>VLOOKUP(Inv_Sy[[#This Row],[Date]],RD[#All],W$1,0)/W$2</f>
        <v>2.5494258581598968</v>
      </c>
      <c r="X35" s="1">
        <f>VLOOKUP(Inv_Sy[[#This Row],[Date]],RD[#All],X$1,0)/X$2</f>
        <v>2.5445529211219591</v>
      </c>
      <c r="Y35" s="1">
        <f>VLOOKUP(Inv_Sy[[#This Row],[Date]],RD[#All],Y$1,0)/Y$2</f>
        <v>2.4947388690975605</v>
      </c>
      <c r="Z35" s="1">
        <f>VLOOKUP(Inv_Sy[[#This Row],[Date]],RD[#All],Z$1,0)/Z$2</f>
        <v>2.5152205773166587</v>
      </c>
      <c r="AA35" s="1">
        <f t="shared" si="1"/>
        <v>2.5565235403633904</v>
      </c>
      <c r="AB35" s="1">
        <f>MAX(Inv_Sy[[#This Row],[G1 Inv1]:[IS1_Inv2]])</f>
        <v>2.6493827264211571</v>
      </c>
      <c r="AC35"/>
    </row>
    <row r="36" spans="1:29" ht="15" customHeight="1" x14ac:dyDescent="0.35">
      <c r="A36" s="321" t="s">
        <v>141</v>
      </c>
      <c r="B36" s="321"/>
      <c r="C36" s="67">
        <f>YEAR(RD[[#This Row],[Month Year]])</f>
        <v>2025</v>
      </c>
      <c r="D36" s="169" t="s">
        <v>142</v>
      </c>
      <c r="E36" s="171">
        <f t="shared" si="3"/>
        <v>45869</v>
      </c>
      <c r="F36" s="1">
        <f>VLOOKUP(Inv_Sy[[#This Row],[Date]],RD[#All],F$1,0)/F$2</f>
        <v>3.4691220238095237</v>
      </c>
      <c r="G36" s="1">
        <f>VLOOKUP(Inv_Sy[[#This Row],[Date]],RD[#All],G$1,0)/G$2</f>
        <v>3.4814453125</v>
      </c>
      <c r="H36" s="1">
        <f>VLOOKUP(Inv_Sy[[#This Row],[Date]],RD[#All],H$1,0)/H$2</f>
        <v>3.4263392857142856</v>
      </c>
      <c r="I36" s="1">
        <f>VLOOKUP(Inv_Sy[[#This Row],[Date]],RD[#All],I$1,0)/I$2</f>
        <v>3.4350834350834352</v>
      </c>
      <c r="J36" s="1">
        <f>VLOOKUP(Inv_Sy[[#This Row],[Date]],RD[#All],J$1,0)/J$2</f>
        <v>3.4799679487179489</v>
      </c>
      <c r="K36" s="1">
        <f>VLOOKUP(Inv_Sy[[#This Row],[Date]],RD[#All],K$1,0)/K$2</f>
        <v>3.3713200379867048</v>
      </c>
      <c r="L36" s="1">
        <f>VLOOKUP(Inv_Sy[[#This Row],[Date]],RD[#All],L$1,0)/L$2</f>
        <v>3.4108019639934533</v>
      </c>
      <c r="M36" s="1">
        <f>VLOOKUP(Inv_Sy[[#This Row],[Date]],RD[#All],M$1,0)/M$2</f>
        <v>3.409598214285714</v>
      </c>
      <c r="N36" s="1">
        <f>VLOOKUP(Inv_Sy[[#This Row],[Date]],RD[#All],N$1,0)/N$2</f>
        <v>3.3379705400981998</v>
      </c>
      <c r="O36" s="1">
        <f>VLOOKUP(Inv_Sy[[#This Row],[Date]],RD[#All],O$1,0)/O$2</f>
        <v>3.4170386904761902</v>
      </c>
      <c r="P36" s="1">
        <f>AVERAGEIFS(Inv_Sy[[#This Row],[G1 Inv1]:[G5 Inv10]],Inv_Sy[[#This Row],[G1 Inv1]:[G5 Inv10]],"&lt;&gt;"&amp;0)</f>
        <v>3.4238687452665459</v>
      </c>
      <c r="Q36" s="1">
        <f>VLOOKUP(Inv_Sy[[#This Row],[Date]],RD[#All],Q$1,0)/Q$2</f>
        <v>3.9231880891965929</v>
      </c>
      <c r="R36" s="1">
        <f>VLOOKUP(Inv_Sy[[#This Row],[Date]],RD[#All],R$1,0)/R$2</f>
        <v>3.8248681926842854</v>
      </c>
      <c r="S36" s="1">
        <f>VLOOKUP(Inv_Sy[[#This Row],[Date]],RD[#All],S$1,0)/S$2</f>
        <v>4.0469119518782843</v>
      </c>
      <c r="T36" s="1">
        <f>VLOOKUP(Inv_Sy[[#This Row],[Date]],RD[#All],T$1,0)/T$2</f>
        <v>3.9327049083286045</v>
      </c>
      <c r="U36" s="1">
        <f>VLOOKUP(Inv_Sy[[#This Row],[Date]],RD[#All],U$1,0)/U$2</f>
        <v>3.9050016239038641</v>
      </c>
      <c r="V36" s="1">
        <f>VLOOKUP(Inv_Sy[[#This Row],[Date]],RD[#All],V$1,0)/V$2</f>
        <v>3.9567731300571505</v>
      </c>
      <c r="W36" s="1">
        <f>VLOOKUP(Inv_Sy[[#This Row],[Date]],RD[#All],W$1,0)/W$2</f>
        <v>3.8768108567962849</v>
      </c>
      <c r="X36" s="1">
        <f>VLOOKUP(Inv_Sy[[#This Row],[Date]],RD[#All],X$1,0)/X$2</f>
        <v>3.8673158955035198</v>
      </c>
      <c r="Y36" s="1">
        <f>VLOOKUP(Inv_Sy[[#This Row],[Date]],RD[#All],Y$1,0)/Y$2</f>
        <v>3.8556868354813405</v>
      </c>
      <c r="Z36" s="1">
        <f>VLOOKUP(Inv_Sy[[#This Row],[Date]],RD[#All],Z$1,0)/Z$2</f>
        <v>3.8852985040900245</v>
      </c>
      <c r="AA36" s="1">
        <f t="shared" si="1"/>
        <v>3.9074559987919955</v>
      </c>
      <c r="AB36" s="1">
        <f>MAX(Inv_Sy[[#This Row],[G1 Inv1]:[IS1_Inv2]])</f>
        <v>4.0469119518782843</v>
      </c>
      <c r="AC36"/>
    </row>
    <row r="37" spans="1:29" ht="15" customHeight="1" x14ac:dyDescent="0.35">
      <c r="A37" s="321" t="s">
        <v>141</v>
      </c>
      <c r="B37" s="321"/>
      <c r="C37" s="67">
        <f>YEAR(RD[[#This Row],[Month Year]])</f>
        <v>2025</v>
      </c>
      <c r="D37" s="169" t="s">
        <v>142</v>
      </c>
      <c r="E37" s="171">
        <f t="shared" si="3"/>
        <v>45870</v>
      </c>
      <c r="F37" s="1">
        <f>VLOOKUP(Inv_Sy[[#This Row],[Date]],RD[#All],F$1,0)/F$2</f>
        <v>3.9248511904761902</v>
      </c>
      <c r="G37" s="1">
        <f>VLOOKUP(Inv_Sy[[#This Row],[Date]],RD[#All],G$1,0)/G$2</f>
        <v>3.883463541666667</v>
      </c>
      <c r="H37" s="1">
        <f>VLOOKUP(Inv_Sy[[#This Row],[Date]],RD[#All],H$1,0)/H$2</f>
        <v>3.9127604166666665</v>
      </c>
      <c r="I37" s="1">
        <f>VLOOKUP(Inv_Sy[[#This Row],[Date]],RD[#All],I$1,0)/I$2</f>
        <v>3.9617419617419616</v>
      </c>
      <c r="J37" s="1">
        <f>VLOOKUP(Inv_Sy[[#This Row],[Date]],RD[#All],J$1,0)/J$2</f>
        <v>3.9246794871794872</v>
      </c>
      <c r="K37" s="1">
        <f>VLOOKUP(Inv_Sy[[#This Row],[Date]],RD[#All],K$1,0)/K$2</f>
        <v>3.9221272554605888</v>
      </c>
      <c r="L37" s="1">
        <f>VLOOKUP(Inv_Sy[[#This Row],[Date]],RD[#All],L$1,0)/L$2</f>
        <v>3.8527004909983633</v>
      </c>
      <c r="M37" s="1">
        <f>VLOOKUP(Inv_Sy[[#This Row],[Date]],RD[#All],M$1,0)/M$2</f>
        <v>3.8402157738095237</v>
      </c>
      <c r="N37" s="1">
        <f>VLOOKUP(Inv_Sy[[#This Row],[Date]],RD[#All],N$1,0)/N$2</f>
        <v>3.8044189852700492</v>
      </c>
      <c r="O37" s="1">
        <f>VLOOKUP(Inv_Sy[[#This Row],[Date]],RD[#All],O$1,0)/O$2</f>
        <v>3.8271949404761902</v>
      </c>
      <c r="P37" s="1">
        <f>AVERAGEIFS(Inv_Sy[[#This Row],[G1 Inv1]:[G5 Inv10]],Inv_Sy[[#This Row],[G1 Inv1]:[G5 Inv10]],"&lt;&gt;"&amp;0)</f>
        <v>3.8854154043745681</v>
      </c>
      <c r="Q37" s="1">
        <f>VLOOKUP(Inv_Sy[[#This Row],[Date]],RD[#All],Q$1,0)/Q$2</f>
        <v>4.5656959451511545</v>
      </c>
      <c r="R37" s="1">
        <f>VLOOKUP(Inv_Sy[[#This Row],[Date]],RD[#All],R$1,0)/R$2</f>
        <v>4.4531224416281896</v>
      </c>
      <c r="S37" s="1">
        <f>VLOOKUP(Inv_Sy[[#This Row],[Date]],RD[#All],S$1,0)/S$2</f>
        <v>4.6830460844398329</v>
      </c>
      <c r="T37" s="1">
        <f>VLOOKUP(Inv_Sy[[#This Row],[Date]],RD[#All],T$1,0)/T$2</f>
        <v>4.530457111830529</v>
      </c>
      <c r="U37" s="1">
        <f>VLOOKUP(Inv_Sy[[#This Row],[Date]],RD[#All],U$1,0)/U$2</f>
        <v>4.5159954530691779</v>
      </c>
      <c r="V37" s="1">
        <f>VLOOKUP(Inv_Sy[[#This Row],[Date]],RD[#All],V$1,0)/V$2</f>
        <v>4.6193173735869264</v>
      </c>
      <c r="W37" s="1">
        <f>VLOOKUP(Inv_Sy[[#This Row],[Date]],RD[#All],W$1,0)/W$2</f>
        <v>4.539567144677231</v>
      </c>
      <c r="X37" s="1">
        <f>VLOOKUP(Inv_Sy[[#This Row],[Date]],RD[#All],X$1,0)/X$2</f>
        <v>4.5335910673941946</v>
      </c>
      <c r="Y37" s="1">
        <f>VLOOKUP(Inv_Sy[[#This Row],[Date]],RD[#All],Y$1,0)/Y$2</f>
        <v>4.384825935656024</v>
      </c>
      <c r="Z37" s="1">
        <f>VLOOKUP(Inv_Sy[[#This Row],[Date]],RD[#All],Z$1,0)/Z$2</f>
        <v>4.45370555688267</v>
      </c>
      <c r="AA37" s="1">
        <f t="shared" si="1"/>
        <v>4.5279324114315926</v>
      </c>
      <c r="AB37" s="1">
        <f>MAX(Inv_Sy[[#This Row],[G1 Inv1]:[IS1_Inv2]])</f>
        <v>4.6830460844398329</v>
      </c>
      <c r="AC37"/>
    </row>
    <row r="38" spans="1:29" ht="15" customHeight="1" x14ac:dyDescent="0.35">
      <c r="A38" s="321" t="s">
        <v>141</v>
      </c>
      <c r="B38" s="321"/>
      <c r="C38" s="67">
        <f>YEAR(RD[[#This Row],[Month Year]])</f>
        <v>2025</v>
      </c>
      <c r="D38" s="169" t="s">
        <v>142</v>
      </c>
      <c r="E38" s="171">
        <f t="shared" si="3"/>
        <v>45871</v>
      </c>
      <c r="F38" s="1">
        <f>VLOOKUP(Inv_Sy[[#This Row],[Date]],RD[#All],F$1,0)/F$2</f>
        <v>4.0020461309523805</v>
      </c>
      <c r="G38" s="1">
        <f>VLOOKUP(Inv_Sy[[#This Row],[Date]],RD[#All],G$1,0)/G$2</f>
        <v>4.14306640625</v>
      </c>
      <c r="H38" s="1">
        <f>VLOOKUP(Inv_Sy[[#This Row],[Date]],RD[#All],H$1,0)/H$2</f>
        <v>4.0476190476190474</v>
      </c>
      <c r="I38" s="1">
        <f>VLOOKUP(Inv_Sy[[#This Row],[Date]],RD[#All],I$1,0)/I$2</f>
        <v>4.0463980463980462</v>
      </c>
      <c r="J38" s="1">
        <f>VLOOKUP(Inv_Sy[[#This Row],[Date]],RD[#All],J$1,0)/J$2</f>
        <v>4.020833333333333</v>
      </c>
      <c r="K38" s="1">
        <f>VLOOKUP(Inv_Sy[[#This Row],[Date]],RD[#All],K$1,0)/K$2</f>
        <v>4.0892687559354224</v>
      </c>
      <c r="L38" s="1">
        <f>VLOOKUP(Inv_Sy[[#This Row],[Date]],RD[#All],L$1,0)/L$2</f>
        <v>3.8821603927986907</v>
      </c>
      <c r="M38" s="1">
        <f>VLOOKUP(Inv_Sy[[#This Row],[Date]],RD[#All],M$1,0)/M$2</f>
        <v>3.90625</v>
      </c>
      <c r="N38" s="1">
        <f>VLOOKUP(Inv_Sy[[#This Row],[Date]],RD[#All],N$1,0)/N$2</f>
        <v>3.8870703764320784</v>
      </c>
      <c r="O38" s="1">
        <f>VLOOKUP(Inv_Sy[[#This Row],[Date]],RD[#All],O$1,0)/O$2</f>
        <v>3.8969494047619047</v>
      </c>
      <c r="P38" s="1">
        <f>AVERAGEIFS(Inv_Sy[[#This Row],[G1 Inv1]:[G5 Inv10]],Inv_Sy[[#This Row],[G1 Inv1]:[G5 Inv10]],"&lt;&gt;"&amp;0)</f>
        <v>3.9921661894480898</v>
      </c>
      <c r="Q38" s="1">
        <f>VLOOKUP(Inv_Sy[[#This Row],[Date]],RD[#All],Q$1,0)/Q$2</f>
        <v>4.6155203414609565</v>
      </c>
      <c r="R38" s="1">
        <f>VLOOKUP(Inv_Sy[[#This Row],[Date]],RD[#All],R$1,0)/R$2</f>
        <v>4.5218914759144653</v>
      </c>
      <c r="S38" s="1">
        <f>VLOOKUP(Inv_Sy[[#This Row],[Date]],RD[#All],S$1,0)/S$2</f>
        <v>4.8127596476562919</v>
      </c>
      <c r="T38" s="1">
        <f>VLOOKUP(Inv_Sy[[#This Row],[Date]],RD[#All],T$1,0)/T$2</f>
        <v>4.6739143747116767</v>
      </c>
      <c r="U38" s="1">
        <f>VLOOKUP(Inv_Sy[[#This Row],[Date]],RD[#All],U$1,0)/U$2</f>
        <v>4.6485872036375442</v>
      </c>
      <c r="V38" s="1">
        <f>VLOOKUP(Inv_Sy[[#This Row],[Date]],RD[#All],V$1,0)/V$2</f>
        <v>4.7012358901840026</v>
      </c>
      <c r="W38" s="1">
        <f>VLOOKUP(Inv_Sy[[#This Row],[Date]],RD[#All],W$1,0)/W$2</f>
        <v>4.5899597429081984</v>
      </c>
      <c r="X38" s="1">
        <f>VLOOKUP(Inv_Sy[[#This Row],[Date]],RD[#All],X$1,0)/X$2</f>
        <v>4.5762476856949448</v>
      </c>
      <c r="Y38" s="1">
        <f>VLOOKUP(Inv_Sy[[#This Row],[Date]],RD[#All],Y$1,0)/Y$2</f>
        <v>4.6394234075622727</v>
      </c>
      <c r="Z38" s="1">
        <f>VLOOKUP(Inv_Sy[[#This Row],[Date]],RD[#All],Z$1,0)/Z$2</f>
        <v>4.6426150339920831</v>
      </c>
      <c r="AA38" s="1">
        <f t="shared" si="1"/>
        <v>4.6422154803722435</v>
      </c>
      <c r="AB38" s="1">
        <f>MAX(Inv_Sy[[#This Row],[G1 Inv1]:[IS1_Inv2]])</f>
        <v>4.8127596476562919</v>
      </c>
      <c r="AC38"/>
    </row>
    <row r="39" spans="1:29" ht="15" customHeight="1" x14ac:dyDescent="0.35">
      <c r="A39" s="321" t="s">
        <v>141</v>
      </c>
      <c r="B39" s="321"/>
      <c r="C39" s="67">
        <f>YEAR(RD[[#This Row],[Month Year]])</f>
        <v>2025</v>
      </c>
      <c r="D39" s="169" t="s">
        <v>142</v>
      </c>
      <c r="E39" s="171">
        <f t="shared" si="3"/>
        <v>45872</v>
      </c>
      <c r="F39" s="1">
        <f>VLOOKUP(Inv_Sy[[#This Row],[Date]],RD[#All],F$1,0)/F$2</f>
        <v>3.8067336309523809</v>
      </c>
      <c r="G39" s="1">
        <f>VLOOKUP(Inv_Sy[[#This Row],[Date]],RD[#All],G$1,0)/G$2</f>
        <v>3.828125</v>
      </c>
      <c r="H39" s="1">
        <f>VLOOKUP(Inv_Sy[[#This Row],[Date]],RD[#All],H$1,0)/H$2</f>
        <v>3.7676711309523809</v>
      </c>
      <c r="I39" s="1">
        <f>VLOOKUP(Inv_Sy[[#This Row],[Date]],RD[#All],I$1,0)/I$2</f>
        <v>3.7305657305657305</v>
      </c>
      <c r="J39" s="1">
        <f>VLOOKUP(Inv_Sy[[#This Row],[Date]],RD[#All],J$1,0)/J$2</f>
        <v>3.8717948717948718</v>
      </c>
      <c r="K39" s="1">
        <f>VLOOKUP(Inv_Sy[[#This Row],[Date]],RD[#All],K$1,0)/K$2</f>
        <v>3.8936372269705601</v>
      </c>
      <c r="L39" s="1">
        <f>VLOOKUP(Inv_Sy[[#This Row],[Date]],RD[#All],L$1,0)/L$2</f>
        <v>3.7291325695581015</v>
      </c>
      <c r="M39" s="1">
        <f>VLOOKUP(Inv_Sy[[#This Row],[Date]],RD[#All],M$1,0)/M$2</f>
        <v>3.7211681547619047</v>
      </c>
      <c r="N39" s="1">
        <f>VLOOKUP(Inv_Sy[[#This Row],[Date]],RD[#All],N$1,0)/N$2</f>
        <v>3.7168576104746318</v>
      </c>
      <c r="O39" s="1">
        <f>VLOOKUP(Inv_Sy[[#This Row],[Date]],RD[#All],O$1,0)/O$2</f>
        <v>3.7286086309523809</v>
      </c>
      <c r="P39" s="1">
        <f>AVERAGEIFS(Inv_Sy[[#This Row],[G1 Inv1]:[G5 Inv10]],Inv_Sy[[#This Row],[G1 Inv1]:[G5 Inv10]],"&lt;&gt;"&amp;0)</f>
        <v>3.7794294556982941</v>
      </c>
      <c r="Q39" s="1">
        <f>VLOOKUP(Inv_Sy[[#This Row],[Date]],RD[#All],Q$1,0)/Q$2</f>
        <v>4.4636945672083224</v>
      </c>
      <c r="R39" s="1">
        <f>VLOOKUP(Inv_Sy[[#This Row],[Date]],RD[#All],R$1,0)/R$2</f>
        <v>4.3780495791990051</v>
      </c>
      <c r="S39" s="1">
        <f>VLOOKUP(Inv_Sy[[#This Row],[Date]],RD[#All],S$1,0)/S$2</f>
        <v>4.6073518354385179</v>
      </c>
      <c r="T39" s="1">
        <f>VLOOKUP(Inv_Sy[[#This Row],[Date]],RD[#All],T$1,0)/T$2</f>
        <v>4.4792631995786909</v>
      </c>
      <c r="U39" s="1">
        <f>VLOOKUP(Inv_Sy[[#This Row],[Date]],RD[#All],U$1,0)/U$2</f>
        <v>4.4507145177005514</v>
      </c>
      <c r="V39" s="1">
        <f>VLOOKUP(Inv_Sy[[#This Row],[Date]],RD[#All],V$1,0)/V$2</f>
        <v>4.5225882569513596</v>
      </c>
      <c r="W39" s="1">
        <f>VLOOKUP(Inv_Sy[[#This Row],[Date]],RD[#All],W$1,0)/W$2</f>
        <v>4.4075206271802534</v>
      </c>
      <c r="X39" s="1">
        <f>VLOOKUP(Inv_Sy[[#This Row],[Date]],RD[#All],X$1,0)/X$2</f>
        <v>4.3645142610128298</v>
      </c>
      <c r="Y39" s="1">
        <f>VLOOKUP(Inv_Sy[[#This Row],[Date]],RD[#All],Y$1,0)/Y$2</f>
        <v>4.2937705459196991</v>
      </c>
      <c r="Z39" s="1">
        <f>VLOOKUP(Inv_Sy[[#This Row],[Date]],RD[#All],Z$1,0)/Z$2</f>
        <v>4.3125722291447417</v>
      </c>
      <c r="AA39" s="1">
        <f t="shared" si="1"/>
        <v>4.4280039619333973</v>
      </c>
      <c r="AB39" s="1">
        <f>MAX(Inv_Sy[[#This Row],[G1 Inv1]:[IS1_Inv2]])</f>
        <v>4.6073518354385179</v>
      </c>
      <c r="AC39"/>
    </row>
    <row r="40" spans="1:29" ht="15" customHeight="1" x14ac:dyDescent="0.35">
      <c r="A40" s="321" t="s">
        <v>141</v>
      </c>
      <c r="B40" s="321"/>
      <c r="C40" s="67">
        <f>YEAR(RD[[#This Row],[Month Year]])</f>
        <v>2025</v>
      </c>
      <c r="D40" s="169" t="s">
        <v>142</v>
      </c>
      <c r="E40" s="171">
        <f t="shared" si="3"/>
        <v>45873</v>
      </c>
      <c r="F40" s="1">
        <f>VLOOKUP(Inv_Sy[[#This Row],[Date]],RD[#All],F$1,0)/F$2</f>
        <v>3.7797619047619047</v>
      </c>
      <c r="G40" s="1">
        <f>VLOOKUP(Inv_Sy[[#This Row],[Date]],RD[#All],G$1,0)/G$2</f>
        <v>3.8264973958333335</v>
      </c>
      <c r="H40" s="1">
        <f>VLOOKUP(Inv_Sy[[#This Row],[Date]],RD[#All],H$1,0)/H$2</f>
        <v>3.7797619047619047</v>
      </c>
      <c r="I40" s="1">
        <f>VLOOKUP(Inv_Sy[[#This Row],[Date]],RD[#All],I$1,0)/I$2</f>
        <v>3.7761497761497762</v>
      </c>
      <c r="J40" s="1">
        <f>VLOOKUP(Inv_Sy[[#This Row],[Date]],RD[#All],J$1,0)/J$2</f>
        <v>3.8461538461538463</v>
      </c>
      <c r="K40" s="1">
        <f>VLOOKUP(Inv_Sy[[#This Row],[Date]],RD[#All],K$1,0)/K$2</f>
        <v>3.899335232668566</v>
      </c>
      <c r="L40" s="1">
        <f>VLOOKUP(Inv_Sy[[#This Row],[Date]],RD[#All],L$1,0)/L$2</f>
        <v>3.8297872340425534</v>
      </c>
      <c r="M40" s="1">
        <f>VLOOKUP(Inv_Sy[[#This Row],[Date]],RD[#All],M$1,0)/M$2</f>
        <v>3.8271949404761902</v>
      </c>
      <c r="N40" s="1">
        <f>VLOOKUP(Inv_Sy[[#This Row],[Date]],RD[#All],N$1,0)/N$2</f>
        <v>3.707037643207856</v>
      </c>
      <c r="O40" s="1">
        <f>VLOOKUP(Inv_Sy[[#This Row],[Date]],RD[#All],O$1,0)/O$2</f>
        <v>3.819754464285714</v>
      </c>
      <c r="P40" s="1">
        <f>AVERAGEIFS(Inv_Sy[[#This Row],[G1 Inv1]:[G5 Inv10]],Inv_Sy[[#This Row],[G1 Inv1]:[G5 Inv10]],"&lt;&gt;"&amp;0)</f>
        <v>3.8091434342341643</v>
      </c>
      <c r="Q40" s="1">
        <f>VLOOKUP(Inv_Sy[[#This Row],[Date]],RD[#All],Q$1,0)/Q$2</f>
        <v>4.59594347073552</v>
      </c>
      <c r="R40" s="1">
        <f>VLOOKUP(Inv_Sy[[#This Row],[Date]],RD[#All],R$1,0)/R$2</f>
        <v>4.4717883223630359</v>
      </c>
      <c r="S40" s="1">
        <f>VLOOKUP(Inv_Sy[[#This Row],[Date]],RD[#All],S$1,0)/S$2</f>
        <v>4.7014445755955352</v>
      </c>
      <c r="T40" s="1">
        <f>VLOOKUP(Inv_Sy[[#This Row],[Date]],RD[#All],T$1,0)/T$2</f>
        <v>4.576833734093757</v>
      </c>
      <c r="U40" s="1">
        <f>VLOOKUP(Inv_Sy[[#This Row],[Date]],RD[#All],U$1,0)/U$2</f>
        <v>4.5314225397856438</v>
      </c>
      <c r="V40" s="1">
        <f>VLOOKUP(Inv_Sy[[#This Row],[Date]],RD[#All],V$1,0)/V$2</f>
        <v>4.6267645114593883</v>
      </c>
      <c r="W40" s="1">
        <f>VLOOKUP(Inv_Sy[[#This Row],[Date]],RD[#All],W$1,0)/W$2</f>
        <v>4.5486036202889233</v>
      </c>
      <c r="X40" s="1">
        <f>VLOOKUP(Inv_Sy[[#This Row],[Date]],RD[#All],X$1,0)/X$2</f>
        <v>4.5582226137169979</v>
      </c>
      <c r="Y40" s="1">
        <f>VLOOKUP(Inv_Sy[[#This Row],[Date]],RD[#All],Y$1,0)/Y$2</f>
        <v>4.3960359269906322</v>
      </c>
      <c r="Z40" s="1">
        <f>VLOOKUP(Inv_Sy[[#This Row],[Date]],RD[#All],Z$1,0)/Z$2</f>
        <v>4.4473784452091492</v>
      </c>
      <c r="AA40" s="1">
        <f t="shared" si="1"/>
        <v>4.5454437760238582</v>
      </c>
      <c r="AB40" s="1">
        <f>MAX(Inv_Sy[[#This Row],[G1 Inv1]:[IS1_Inv2]])</f>
        <v>4.7014445755955352</v>
      </c>
      <c r="AC40"/>
    </row>
    <row r="41" spans="1:29" ht="15" customHeight="1" x14ac:dyDescent="0.35">
      <c r="A41" s="321" t="s">
        <v>141</v>
      </c>
      <c r="B41" s="321"/>
      <c r="C41" s="67">
        <f>YEAR(RD[[#This Row],[Month Year]])</f>
        <v>2025</v>
      </c>
      <c r="D41" s="169" t="s">
        <v>142</v>
      </c>
      <c r="E41" s="171">
        <f t="shared" si="3"/>
        <v>45874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1"/>
        <v/>
      </c>
      <c r="AB41" s="1" t="e">
        <f>MAX(Inv_Sy[[#This Row],[G1 Inv1]:[IS1_Inv2]])</f>
        <v>#DIV/0!</v>
      </c>
      <c r="AC41"/>
    </row>
    <row r="42" spans="1:29" ht="15" customHeight="1" x14ac:dyDescent="0.35">
      <c r="A42" s="321" t="s">
        <v>141</v>
      </c>
      <c r="B42" s="321"/>
      <c r="C42" s="67">
        <f>YEAR(RD[[#This Row],[Month Year]])</f>
        <v>2025</v>
      </c>
      <c r="D42" s="169" t="s">
        <v>142</v>
      </c>
      <c r="E42" s="171">
        <f t="shared" si="3"/>
        <v>45875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1"/>
        <v/>
      </c>
      <c r="AB42" s="1" t="e">
        <f>MAX(Inv_Sy[[#This Row],[G1 Inv1]:[IS1_Inv2]])</f>
        <v>#DIV/0!</v>
      </c>
      <c r="AC42"/>
    </row>
    <row r="43" spans="1:29" ht="15" customHeight="1" x14ac:dyDescent="0.35">
      <c r="A43" s="321" t="s">
        <v>141</v>
      </c>
      <c r="B43" s="321"/>
      <c r="C43" s="67">
        <f>YEAR(RD[[#This Row],[Month Year]])</f>
        <v>2025</v>
      </c>
      <c r="D43" s="169" t="s">
        <v>142</v>
      </c>
      <c r="E43" s="171">
        <f t="shared" si="3"/>
        <v>45876</v>
      </c>
      <c r="F43" s="1" t="e">
        <f>VLOOKUP(Inv_Sy[[#This Row],[Date]],RD[#All],F$1,0)/F$2</f>
        <v>#N/A</v>
      </c>
      <c r="G43" s="1" t="e">
        <f>VLOOKUP(Inv_Sy[[#This Row],[Date]],RD[#All],G$1,0)/G$2</f>
        <v>#N/A</v>
      </c>
      <c r="H43" s="1" t="e">
        <f>VLOOKUP(Inv_Sy[[#This Row],[Date]],RD[#All],H$1,0)/H$2</f>
        <v>#N/A</v>
      </c>
      <c r="I43" s="1" t="e">
        <f>VLOOKUP(Inv_Sy[[#This Row],[Date]],RD[#All],I$1,0)/I$2</f>
        <v>#N/A</v>
      </c>
      <c r="J43" s="1" t="e">
        <f>VLOOKUP(Inv_Sy[[#This Row],[Date]],RD[#All],J$1,0)/J$2</f>
        <v>#N/A</v>
      </c>
      <c r="K43" s="1" t="e">
        <f>VLOOKUP(Inv_Sy[[#This Row],[Date]],RD[#All],K$1,0)/K$2</f>
        <v>#N/A</v>
      </c>
      <c r="L43" s="1" t="e">
        <f>VLOOKUP(Inv_Sy[[#This Row],[Date]],RD[#All],L$1,0)/L$2</f>
        <v>#N/A</v>
      </c>
      <c r="M43" s="1" t="e">
        <f>VLOOKUP(Inv_Sy[[#This Row],[Date]],RD[#All],M$1,0)/M$2</f>
        <v>#N/A</v>
      </c>
      <c r="N43" s="1" t="e">
        <f>VLOOKUP(Inv_Sy[[#This Row],[Date]],RD[#All],N$1,0)/N$2</f>
        <v>#N/A</v>
      </c>
      <c r="O43" s="1" t="e">
        <f>VLOOKUP(Inv_Sy[[#This Row],[Date]],RD[#All],O$1,0)/O$2</f>
        <v>#N/A</v>
      </c>
      <c r="P43" s="1" t="e">
        <f>AVERAGEIFS(Inv_Sy[[#This Row],[G1 Inv1]:[G5 Inv10]],Inv_Sy[[#This Row],[G1 Inv1]:[G5 Inv10]],"&lt;&gt;"&amp;0)</f>
        <v>#N/A</v>
      </c>
      <c r="Q43" s="1" t="e">
        <f>VLOOKUP(Inv_Sy[[#This Row],[Date]],RD[#All],Q$1,0)/Q$2</f>
        <v>#N/A</v>
      </c>
      <c r="R43" s="1" t="e">
        <f>VLOOKUP(Inv_Sy[[#This Row],[Date]],RD[#All],R$1,0)/R$2</f>
        <v>#N/A</v>
      </c>
      <c r="S43" s="1" t="e">
        <f>VLOOKUP(Inv_Sy[[#This Row],[Date]],RD[#All],S$1,0)/S$2</f>
        <v>#N/A</v>
      </c>
      <c r="T43" s="1" t="e">
        <f>VLOOKUP(Inv_Sy[[#This Row],[Date]],RD[#All],T$1,0)/T$2</f>
        <v>#N/A</v>
      </c>
      <c r="U43" s="1" t="e">
        <f>VLOOKUP(Inv_Sy[[#This Row],[Date]],RD[#All],U$1,0)/U$2</f>
        <v>#N/A</v>
      </c>
      <c r="V43" s="1" t="e">
        <f>VLOOKUP(Inv_Sy[[#This Row],[Date]],RD[#All],V$1,0)/V$2</f>
        <v>#N/A</v>
      </c>
      <c r="W43" s="1" t="e">
        <f>VLOOKUP(Inv_Sy[[#This Row],[Date]],RD[#All],W$1,0)/W$2</f>
        <v>#N/A</v>
      </c>
      <c r="X43" s="1" t="e">
        <f>VLOOKUP(Inv_Sy[[#This Row],[Date]],RD[#All],X$1,0)/X$2</f>
        <v>#N/A</v>
      </c>
      <c r="Y43" s="1" t="e">
        <f>VLOOKUP(Inv_Sy[[#This Row],[Date]],RD[#All],Y$1,0)/Y$2</f>
        <v>#N/A</v>
      </c>
      <c r="Z43" s="1" t="e">
        <f>VLOOKUP(Inv_Sy[[#This Row],[Date]],RD[#All],Z$1,0)/Z$2</f>
        <v>#N/A</v>
      </c>
      <c r="AA43" s="1" t="str">
        <f t="shared" si="1"/>
        <v/>
      </c>
      <c r="AB43" s="1" t="e">
        <f>MAX(Inv_Sy[[#This Row],[G1 Inv1]:[IS1_Inv2]])</f>
        <v>#N/A</v>
      </c>
      <c r="AC43"/>
    </row>
    <row r="44" spans="1:29" ht="15" customHeight="1" x14ac:dyDescent="0.35">
      <c r="A44" s="321" t="s">
        <v>141</v>
      </c>
      <c r="B44" s="321"/>
      <c r="C44" s="67">
        <f>YEAR(RD[[#This Row],[Month Year]])</f>
        <v>2025</v>
      </c>
      <c r="D44" s="169" t="s">
        <v>142</v>
      </c>
      <c r="E44" s="171">
        <f t="shared" si="3"/>
        <v>45877</v>
      </c>
      <c r="F44" s="1" t="e">
        <f>VLOOKUP(Inv_Sy[[#This Row],[Date]],RD[#All],F$1,0)/F$2</f>
        <v>#N/A</v>
      </c>
      <c r="G44" s="1" t="e">
        <f>VLOOKUP(Inv_Sy[[#This Row],[Date]],RD[#All],G$1,0)/G$2</f>
        <v>#N/A</v>
      </c>
      <c r="H44" s="1" t="e">
        <f>VLOOKUP(Inv_Sy[[#This Row],[Date]],RD[#All],H$1,0)/H$2</f>
        <v>#N/A</v>
      </c>
      <c r="I44" s="1" t="e">
        <f>VLOOKUP(Inv_Sy[[#This Row],[Date]],RD[#All],I$1,0)/I$2</f>
        <v>#N/A</v>
      </c>
      <c r="J44" s="1" t="e">
        <f>VLOOKUP(Inv_Sy[[#This Row],[Date]],RD[#All],J$1,0)/J$2</f>
        <v>#N/A</v>
      </c>
      <c r="K44" s="1" t="e">
        <f>VLOOKUP(Inv_Sy[[#This Row],[Date]],RD[#All],K$1,0)/K$2</f>
        <v>#N/A</v>
      </c>
      <c r="L44" s="1" t="e">
        <f>VLOOKUP(Inv_Sy[[#This Row],[Date]],RD[#All],L$1,0)/L$2</f>
        <v>#N/A</v>
      </c>
      <c r="M44" s="1" t="e">
        <f>VLOOKUP(Inv_Sy[[#This Row],[Date]],RD[#All],M$1,0)/M$2</f>
        <v>#N/A</v>
      </c>
      <c r="N44" s="1" t="e">
        <f>VLOOKUP(Inv_Sy[[#This Row],[Date]],RD[#All],N$1,0)/N$2</f>
        <v>#N/A</v>
      </c>
      <c r="O44" s="1" t="e">
        <f>VLOOKUP(Inv_Sy[[#This Row],[Date]],RD[#All],O$1,0)/O$2</f>
        <v>#N/A</v>
      </c>
      <c r="P44" s="1" t="e">
        <f>AVERAGEIFS(Inv_Sy[[#This Row],[G1 Inv1]:[G5 Inv10]],Inv_Sy[[#This Row],[G1 Inv1]:[G5 Inv10]],"&lt;&gt;"&amp;0)</f>
        <v>#N/A</v>
      </c>
      <c r="Q44" s="1" t="e">
        <f>VLOOKUP(Inv_Sy[[#This Row],[Date]],RD[#All],Q$1,0)/Q$2</f>
        <v>#N/A</v>
      </c>
      <c r="R44" s="1" t="e">
        <f>VLOOKUP(Inv_Sy[[#This Row],[Date]],RD[#All],R$1,0)/R$2</f>
        <v>#N/A</v>
      </c>
      <c r="S44" s="1" t="e">
        <f>VLOOKUP(Inv_Sy[[#This Row],[Date]],RD[#All],S$1,0)/S$2</f>
        <v>#N/A</v>
      </c>
      <c r="T44" s="1" t="e">
        <f>VLOOKUP(Inv_Sy[[#This Row],[Date]],RD[#All],T$1,0)/T$2</f>
        <v>#N/A</v>
      </c>
      <c r="U44" s="1" t="e">
        <f>VLOOKUP(Inv_Sy[[#This Row],[Date]],RD[#All],U$1,0)/U$2</f>
        <v>#N/A</v>
      </c>
      <c r="V44" s="1" t="e">
        <f>VLOOKUP(Inv_Sy[[#This Row],[Date]],RD[#All],V$1,0)/V$2</f>
        <v>#N/A</v>
      </c>
      <c r="W44" s="1" t="e">
        <f>VLOOKUP(Inv_Sy[[#This Row],[Date]],RD[#All],W$1,0)/W$2</f>
        <v>#N/A</v>
      </c>
      <c r="X44" s="1" t="e">
        <f>VLOOKUP(Inv_Sy[[#This Row],[Date]],RD[#All],X$1,0)/X$2</f>
        <v>#N/A</v>
      </c>
      <c r="Y44" s="1" t="e">
        <f>VLOOKUP(Inv_Sy[[#This Row],[Date]],RD[#All],Y$1,0)/Y$2</f>
        <v>#N/A</v>
      </c>
      <c r="Z44" s="1" t="e">
        <f>VLOOKUP(Inv_Sy[[#This Row],[Date]],RD[#All],Z$1,0)/Z$2</f>
        <v>#N/A</v>
      </c>
      <c r="AA44" s="1" t="str">
        <f t="shared" si="1"/>
        <v/>
      </c>
      <c r="AB44" s="1" t="e">
        <f>MAX(Inv_Sy[[#This Row],[G1 Inv1]:[IS1_Inv2]])</f>
        <v>#N/A</v>
      </c>
      <c r="AC44"/>
    </row>
    <row r="45" spans="1:29" ht="15" customHeight="1" x14ac:dyDescent="0.35">
      <c r="A45" s="321" t="s">
        <v>141</v>
      </c>
      <c r="B45" s="321"/>
      <c r="C45" s="67">
        <f>YEAR(RD[[#This Row],[Month Year]])</f>
        <v>2025</v>
      </c>
      <c r="D45" s="169" t="s">
        <v>142</v>
      </c>
      <c r="E45" s="171">
        <f t="shared" si="3"/>
        <v>45878</v>
      </c>
      <c r="F45" s="1" t="e">
        <f>VLOOKUP(Inv_Sy[[#This Row],[Date]],RD[#All],F$1,0)/F$2</f>
        <v>#N/A</v>
      </c>
      <c r="G45" s="1" t="e">
        <f>VLOOKUP(Inv_Sy[[#This Row],[Date]],RD[#All],G$1,0)/G$2</f>
        <v>#N/A</v>
      </c>
      <c r="H45" s="1" t="e">
        <f>VLOOKUP(Inv_Sy[[#This Row],[Date]],RD[#All],H$1,0)/H$2</f>
        <v>#N/A</v>
      </c>
      <c r="I45" s="1" t="e">
        <f>VLOOKUP(Inv_Sy[[#This Row],[Date]],RD[#All],I$1,0)/I$2</f>
        <v>#N/A</v>
      </c>
      <c r="J45" s="1" t="e">
        <f>VLOOKUP(Inv_Sy[[#This Row],[Date]],RD[#All],J$1,0)/J$2</f>
        <v>#N/A</v>
      </c>
      <c r="K45" s="1" t="e">
        <f>VLOOKUP(Inv_Sy[[#This Row],[Date]],RD[#All],K$1,0)/K$2</f>
        <v>#N/A</v>
      </c>
      <c r="L45" s="1" t="e">
        <f>VLOOKUP(Inv_Sy[[#This Row],[Date]],RD[#All],L$1,0)/L$2</f>
        <v>#N/A</v>
      </c>
      <c r="M45" s="1" t="e">
        <f>VLOOKUP(Inv_Sy[[#This Row],[Date]],RD[#All],M$1,0)/M$2</f>
        <v>#N/A</v>
      </c>
      <c r="N45" s="1" t="e">
        <f>VLOOKUP(Inv_Sy[[#This Row],[Date]],RD[#All],N$1,0)/N$2</f>
        <v>#N/A</v>
      </c>
      <c r="O45" s="1" t="e">
        <f>VLOOKUP(Inv_Sy[[#This Row],[Date]],RD[#All],O$1,0)/O$2</f>
        <v>#N/A</v>
      </c>
      <c r="P45" s="1" t="e">
        <f>AVERAGEIFS(Inv_Sy[[#This Row],[G1 Inv1]:[G5 Inv10]],Inv_Sy[[#This Row],[G1 Inv1]:[G5 Inv10]],"&lt;&gt;"&amp;0)</f>
        <v>#N/A</v>
      </c>
      <c r="Q45" s="1" t="e">
        <f>VLOOKUP(Inv_Sy[[#This Row],[Date]],RD[#All],Q$1,0)/Q$2</f>
        <v>#N/A</v>
      </c>
      <c r="R45" s="1" t="e">
        <f>VLOOKUP(Inv_Sy[[#This Row],[Date]],RD[#All],R$1,0)/R$2</f>
        <v>#N/A</v>
      </c>
      <c r="S45" s="1" t="e">
        <f>VLOOKUP(Inv_Sy[[#This Row],[Date]],RD[#All],S$1,0)/S$2</f>
        <v>#N/A</v>
      </c>
      <c r="T45" s="1" t="e">
        <f>VLOOKUP(Inv_Sy[[#This Row],[Date]],RD[#All],T$1,0)/T$2</f>
        <v>#N/A</v>
      </c>
      <c r="U45" s="1" t="e">
        <f>VLOOKUP(Inv_Sy[[#This Row],[Date]],RD[#All],U$1,0)/U$2</f>
        <v>#N/A</v>
      </c>
      <c r="V45" s="1" t="e">
        <f>VLOOKUP(Inv_Sy[[#This Row],[Date]],RD[#All],V$1,0)/V$2</f>
        <v>#N/A</v>
      </c>
      <c r="W45" s="1" t="e">
        <f>VLOOKUP(Inv_Sy[[#This Row],[Date]],RD[#All],W$1,0)/W$2</f>
        <v>#N/A</v>
      </c>
      <c r="X45" s="1" t="e">
        <f>VLOOKUP(Inv_Sy[[#This Row],[Date]],RD[#All],X$1,0)/X$2</f>
        <v>#N/A</v>
      </c>
      <c r="Y45" s="1" t="e">
        <f>VLOOKUP(Inv_Sy[[#This Row],[Date]],RD[#All],Y$1,0)/Y$2</f>
        <v>#N/A</v>
      </c>
      <c r="Z45" s="1" t="e">
        <f>VLOOKUP(Inv_Sy[[#This Row],[Date]],RD[#All],Z$1,0)/Z$2</f>
        <v>#N/A</v>
      </c>
      <c r="AA45" s="1" t="str">
        <f t="shared" si="1"/>
        <v/>
      </c>
      <c r="AB45" s="1" t="e">
        <f>MAX(Inv_Sy[[#This Row],[G1 Inv1]:[IS1_Inv2]])</f>
        <v>#N/A</v>
      </c>
      <c r="AC45"/>
    </row>
    <row r="46" spans="1:29" ht="15" customHeight="1" x14ac:dyDescent="0.35">
      <c r="A46" s="321" t="s">
        <v>141</v>
      </c>
      <c r="B46" s="321"/>
      <c r="C46" s="67">
        <f>YEAR(RD[[#This Row],[Month Year]])</f>
        <v>2025</v>
      </c>
      <c r="D46" s="169" t="s">
        <v>142</v>
      </c>
      <c r="E46" s="171">
        <f t="shared" si="3"/>
        <v>45879</v>
      </c>
      <c r="F46" s="1" t="e">
        <f>VLOOKUP(Inv_Sy[[#This Row],[Date]],RD[#All],F$1,0)/F$2</f>
        <v>#N/A</v>
      </c>
      <c r="G46" s="1" t="e">
        <f>VLOOKUP(Inv_Sy[[#This Row],[Date]],RD[#All],G$1,0)/G$2</f>
        <v>#N/A</v>
      </c>
      <c r="H46" s="1" t="e">
        <f>VLOOKUP(Inv_Sy[[#This Row],[Date]],RD[#All],H$1,0)/H$2</f>
        <v>#N/A</v>
      </c>
      <c r="I46" s="1" t="e">
        <f>VLOOKUP(Inv_Sy[[#This Row],[Date]],RD[#All],I$1,0)/I$2</f>
        <v>#N/A</v>
      </c>
      <c r="J46" s="1" t="e">
        <f>VLOOKUP(Inv_Sy[[#This Row],[Date]],RD[#All],J$1,0)/J$2</f>
        <v>#N/A</v>
      </c>
      <c r="K46" s="1" t="e">
        <f>VLOOKUP(Inv_Sy[[#This Row],[Date]],RD[#All],K$1,0)/K$2</f>
        <v>#N/A</v>
      </c>
      <c r="L46" s="1" t="e">
        <f>VLOOKUP(Inv_Sy[[#This Row],[Date]],RD[#All],L$1,0)/L$2</f>
        <v>#N/A</v>
      </c>
      <c r="M46" s="1" t="e">
        <f>VLOOKUP(Inv_Sy[[#This Row],[Date]],RD[#All],M$1,0)/M$2</f>
        <v>#N/A</v>
      </c>
      <c r="N46" s="1" t="e">
        <f>VLOOKUP(Inv_Sy[[#This Row],[Date]],RD[#All],N$1,0)/N$2</f>
        <v>#N/A</v>
      </c>
      <c r="O46" s="1" t="e">
        <f>VLOOKUP(Inv_Sy[[#This Row],[Date]],RD[#All],O$1,0)/O$2</f>
        <v>#N/A</v>
      </c>
      <c r="P46" s="1" t="e">
        <f>AVERAGEIFS(Inv_Sy[[#This Row],[G1 Inv1]:[G5 Inv10]],Inv_Sy[[#This Row],[G1 Inv1]:[G5 Inv10]],"&lt;&gt;"&amp;0)</f>
        <v>#N/A</v>
      </c>
      <c r="Q46" s="1" t="e">
        <f>VLOOKUP(Inv_Sy[[#This Row],[Date]],RD[#All],Q$1,0)/Q$2</f>
        <v>#N/A</v>
      </c>
      <c r="R46" s="1" t="e">
        <f>VLOOKUP(Inv_Sy[[#This Row],[Date]],RD[#All],R$1,0)/R$2</f>
        <v>#N/A</v>
      </c>
      <c r="S46" s="1" t="e">
        <f>VLOOKUP(Inv_Sy[[#This Row],[Date]],RD[#All],S$1,0)/S$2</f>
        <v>#N/A</v>
      </c>
      <c r="T46" s="1" t="e">
        <f>VLOOKUP(Inv_Sy[[#This Row],[Date]],RD[#All],T$1,0)/T$2</f>
        <v>#N/A</v>
      </c>
      <c r="U46" s="1" t="e">
        <f>VLOOKUP(Inv_Sy[[#This Row],[Date]],RD[#All],U$1,0)/U$2</f>
        <v>#N/A</v>
      </c>
      <c r="V46" s="1" t="e">
        <f>VLOOKUP(Inv_Sy[[#This Row],[Date]],RD[#All],V$1,0)/V$2</f>
        <v>#N/A</v>
      </c>
      <c r="W46" s="1" t="e">
        <f>VLOOKUP(Inv_Sy[[#This Row],[Date]],RD[#All],W$1,0)/W$2</f>
        <v>#N/A</v>
      </c>
      <c r="X46" s="1" t="e">
        <f>VLOOKUP(Inv_Sy[[#This Row],[Date]],RD[#All],X$1,0)/X$2</f>
        <v>#N/A</v>
      </c>
      <c r="Y46" s="1" t="e">
        <f>VLOOKUP(Inv_Sy[[#This Row],[Date]],RD[#All],Y$1,0)/Y$2</f>
        <v>#N/A</v>
      </c>
      <c r="Z46" s="1" t="e">
        <f>VLOOKUP(Inv_Sy[[#This Row],[Date]],RD[#All],Z$1,0)/Z$2</f>
        <v>#N/A</v>
      </c>
      <c r="AA46" s="1" t="str">
        <f t="shared" si="1"/>
        <v/>
      </c>
      <c r="AB46" s="1" t="e">
        <f>MAX(Inv_Sy[[#This Row],[G1 Inv1]:[IS1_Inv2]])</f>
        <v>#N/A</v>
      </c>
      <c r="AC46"/>
    </row>
    <row r="47" spans="1:29" ht="15" customHeight="1" x14ac:dyDescent="0.35">
      <c r="A47" s="321" t="s">
        <v>141</v>
      </c>
      <c r="B47" s="321"/>
      <c r="C47" s="67">
        <f>YEAR(RD[[#This Row],[Month Year]])</f>
        <v>2025</v>
      </c>
      <c r="D47" s="169" t="s">
        <v>142</v>
      </c>
      <c r="E47" s="171">
        <f t="shared" si="3"/>
        <v>45880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1"/>
        <v/>
      </c>
      <c r="AB47" s="1" t="e">
        <f>MAX(Inv_Sy[[#This Row],[G1 Inv1]:[IS1_Inv2]])</f>
        <v>#N/A</v>
      </c>
      <c r="AC47"/>
    </row>
    <row r="48" spans="1:29" ht="15" customHeight="1" x14ac:dyDescent="0.35">
      <c r="A48" s="321" t="s">
        <v>141</v>
      </c>
      <c r="B48" s="321"/>
      <c r="C48" s="67">
        <f>YEAR(RD[[#This Row],[Month Year]])</f>
        <v>2025</v>
      </c>
      <c r="D48" s="169" t="s">
        <v>142</v>
      </c>
      <c r="E48" s="171">
        <f t="shared" si="3"/>
        <v>45881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1"/>
        <v/>
      </c>
      <c r="AB48" s="1" t="e">
        <f>MAX(Inv_Sy[[#This Row],[G1 Inv1]:[IS1_Inv2]])</f>
        <v>#N/A</v>
      </c>
      <c r="AC48"/>
    </row>
    <row r="49" spans="1:29" ht="15" customHeight="1" x14ac:dyDescent="0.35">
      <c r="A49" s="321" t="s">
        <v>141</v>
      </c>
      <c r="B49" s="321"/>
      <c r="C49" s="67">
        <f>YEAR(RD[[#This Row],[Month Year]])</f>
        <v>2025</v>
      </c>
      <c r="D49" s="169" t="s">
        <v>142</v>
      </c>
      <c r="E49" s="171">
        <f t="shared" si="3"/>
        <v>45882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1"/>
        <v/>
      </c>
      <c r="AB49" s="1" t="e">
        <f>MAX(Inv_Sy[[#This Row],[G1 Inv1]:[IS1_Inv2]])</f>
        <v>#N/A</v>
      </c>
      <c r="AC49"/>
    </row>
    <row r="50" spans="1:29" ht="15" customHeight="1" x14ac:dyDescent="0.35">
      <c r="A50" s="321" t="s">
        <v>141</v>
      </c>
      <c r="B50" s="321"/>
      <c r="C50" s="67">
        <f>YEAR(RD[[#This Row],[Month Year]])</f>
        <v>2025</v>
      </c>
      <c r="D50" s="169" t="s">
        <v>142</v>
      </c>
      <c r="E50" s="171">
        <f t="shared" si="3"/>
        <v>45883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1"/>
        <v/>
      </c>
      <c r="AB50" s="1" t="e">
        <f>MAX(Inv_Sy[[#This Row],[G1 Inv1]:[IS1_Inv2]])</f>
        <v>#N/A</v>
      </c>
      <c r="AC50"/>
    </row>
    <row r="51" spans="1:29" ht="15" customHeight="1" x14ac:dyDescent="0.35">
      <c r="A51" s="321" t="s">
        <v>141</v>
      </c>
      <c r="B51" s="321"/>
      <c r="C51" s="67">
        <f>YEAR(RD[[#This Row],[Month Year]])</f>
        <v>2025</v>
      </c>
      <c r="D51" s="169" t="s">
        <v>142</v>
      </c>
      <c r="E51" s="171">
        <f t="shared" si="3"/>
        <v>45884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1"/>
        <v/>
      </c>
      <c r="AB51" s="1" t="e">
        <f>MAX(Inv_Sy[[#This Row],[G1 Inv1]:[IS1_Inv2]])</f>
        <v>#N/A</v>
      </c>
      <c r="AC51"/>
    </row>
    <row r="52" spans="1:29" ht="15" customHeight="1" x14ac:dyDescent="0.35">
      <c r="A52" s="321" t="s">
        <v>141</v>
      </c>
      <c r="B52" s="321"/>
      <c r="C52" s="67">
        <f>YEAR(RD[[#This Row],[Month Year]])</f>
        <v>2025</v>
      </c>
      <c r="D52" s="169" t="s">
        <v>142</v>
      </c>
      <c r="E52" s="171">
        <f t="shared" si="3"/>
        <v>45885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1"/>
        <v/>
      </c>
      <c r="AB52" s="1" t="e">
        <f>MAX(Inv_Sy[[#This Row],[G1 Inv1]:[IS1_Inv2]])</f>
        <v>#N/A</v>
      </c>
      <c r="AC52"/>
    </row>
    <row r="53" spans="1:29" ht="15" customHeight="1" x14ac:dyDescent="0.35">
      <c r="A53" s="321" t="s">
        <v>141</v>
      </c>
      <c r="B53" s="321"/>
      <c r="C53" s="67">
        <f>YEAR(RD[[#This Row],[Month Year]])</f>
        <v>2025</v>
      </c>
      <c r="D53" s="169" t="s">
        <v>142</v>
      </c>
      <c r="E53" s="171">
        <f t="shared" si="3"/>
        <v>45886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1"/>
        <v/>
      </c>
      <c r="AB53" s="1" t="e">
        <f>MAX(Inv_Sy[[#This Row],[G1 Inv1]:[IS1_Inv2]])</f>
        <v>#N/A</v>
      </c>
      <c r="AC53"/>
    </row>
    <row r="54" spans="1:29" ht="15" customHeight="1" x14ac:dyDescent="0.35">
      <c r="A54" s="321" t="s">
        <v>141</v>
      </c>
      <c r="B54" s="321"/>
      <c r="C54" s="67">
        <f>YEAR(RD[[#This Row],[Month Year]])</f>
        <v>2025</v>
      </c>
      <c r="D54" s="169" t="s">
        <v>142</v>
      </c>
      <c r="E54" s="171">
        <f t="shared" si="3"/>
        <v>45887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1"/>
        <v/>
      </c>
      <c r="AB54" s="1" t="e">
        <f>MAX(Inv_Sy[[#This Row],[G1 Inv1]:[IS1_Inv2]])</f>
        <v>#N/A</v>
      </c>
      <c r="AC54"/>
    </row>
    <row r="55" spans="1:29" ht="15" customHeight="1" x14ac:dyDescent="0.35">
      <c r="A55" s="321" t="s">
        <v>141</v>
      </c>
      <c r="B55" s="321"/>
      <c r="C55" s="67">
        <f>YEAR(RD[[#This Row],[Month Year]])</f>
        <v>2025</v>
      </c>
      <c r="D55" s="169" t="s">
        <v>142</v>
      </c>
      <c r="E55" s="171">
        <f t="shared" si="3"/>
        <v>45888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1"/>
        <v/>
      </c>
      <c r="AB55" s="1" t="e">
        <f>MAX(Inv_Sy[[#This Row],[G1 Inv1]:[IS1_Inv2]])</f>
        <v>#N/A</v>
      </c>
      <c r="AC55"/>
    </row>
    <row r="56" spans="1:29" ht="15" customHeight="1" x14ac:dyDescent="0.35">
      <c r="A56" s="321" t="s">
        <v>141</v>
      </c>
      <c r="B56" s="321"/>
      <c r="C56" s="67">
        <f>YEAR(RD[[#This Row],[Month Year]])</f>
        <v>2025</v>
      </c>
      <c r="D56" s="169" t="s">
        <v>142</v>
      </c>
      <c r="E56" s="171">
        <f t="shared" si="3"/>
        <v>45889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ref="AA56:AA65" si="4">IFERROR(AVERAGEIF(Q56:Z56,"&gt;"&amp;0,Q56:Z56),"")</f>
        <v/>
      </c>
      <c r="AB56" s="1" t="e">
        <f>MAX(Inv_Sy[[#This Row],[G1 Inv1]:[IS1_Inv2]])</f>
        <v>#N/A</v>
      </c>
      <c r="AC56"/>
    </row>
    <row r="57" spans="1:29" ht="15" customHeight="1" x14ac:dyDescent="0.35">
      <c r="A57" s="321" t="s">
        <v>141</v>
      </c>
      <c r="B57" s="321"/>
      <c r="C57" s="67">
        <f>YEAR(RD[[#This Row],[Month Year]])</f>
        <v>2025</v>
      </c>
      <c r="D57" s="169" t="s">
        <v>142</v>
      </c>
      <c r="E57" s="171">
        <f t="shared" si="3"/>
        <v>45890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35">
      <c r="A58" s="321" t="s">
        <v>141</v>
      </c>
      <c r="B58" s="321"/>
      <c r="C58" s="67">
        <f>YEAR(RD[[#This Row],[Month Year]])</f>
        <v>2025</v>
      </c>
      <c r="D58" s="169" t="s">
        <v>142</v>
      </c>
      <c r="E58" s="171">
        <f t="shared" si="3"/>
        <v>45891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35">
      <c r="A59" s="321" t="s">
        <v>141</v>
      </c>
      <c r="B59" s="321"/>
      <c r="C59" s="67">
        <f>YEAR(RD[[#This Row],[Month Year]])</f>
        <v>2025</v>
      </c>
      <c r="D59" s="169" t="s">
        <v>142</v>
      </c>
      <c r="E59" s="171">
        <f t="shared" si="3"/>
        <v>45892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35">
      <c r="A60" s="321" t="s">
        <v>141</v>
      </c>
      <c r="B60" s="321"/>
      <c r="C60" s="67">
        <f>YEAR(RD[[#This Row],[Month Year]])</f>
        <v>2025</v>
      </c>
      <c r="D60" s="169" t="s">
        <v>142</v>
      </c>
      <c r="E60" s="171">
        <f t="shared" si="3"/>
        <v>45893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35">
      <c r="A61" s="321" t="s">
        <v>141</v>
      </c>
      <c r="B61" s="321"/>
      <c r="C61" s="67">
        <f>YEAR(RD[[#This Row],[Month Year]])</f>
        <v>2025</v>
      </c>
      <c r="D61" s="169" t="s">
        <v>142</v>
      </c>
      <c r="E61" s="171">
        <f t="shared" si="3"/>
        <v>45894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35">
      <c r="A62" s="321" t="s">
        <v>141</v>
      </c>
      <c r="B62" s="321"/>
      <c r="C62" s="67">
        <f>YEAR(RD[[#This Row],[Month Year]])</f>
        <v>2025</v>
      </c>
      <c r="D62" s="169" t="s">
        <v>142</v>
      </c>
      <c r="E62" s="171">
        <f t="shared" si="3"/>
        <v>45895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35">
      <c r="A63" s="321" t="s">
        <v>141</v>
      </c>
      <c r="B63" s="321"/>
      <c r="C63" s="67">
        <f>YEAR(RD[[#This Row],[Month Year]])</f>
        <v>2025</v>
      </c>
      <c r="D63" s="169" t="s">
        <v>142</v>
      </c>
      <c r="E63" s="171">
        <f t="shared" si="3"/>
        <v>45896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35">
      <c r="A64" s="321" t="s">
        <v>141</v>
      </c>
      <c r="B64" s="321"/>
      <c r="C64" s="67">
        <f>YEAR(RD[[#This Row],[Month Year]])</f>
        <v>2025</v>
      </c>
      <c r="D64" s="169" t="s">
        <v>142</v>
      </c>
      <c r="E64" s="171">
        <f t="shared" si="3"/>
        <v>45897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35">
      <c r="A65" s="321" t="s">
        <v>141</v>
      </c>
      <c r="B65" s="321"/>
      <c r="C65" s="67">
        <f>YEAR(RD[[#This Row],[Month Year]])</f>
        <v>2025</v>
      </c>
      <c r="D65" s="169" t="s">
        <v>142</v>
      </c>
      <c r="E65" s="171">
        <f t="shared" si="3"/>
        <v>45898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K1" sqref="K1"/>
    </sheetView>
  </sheetViews>
  <sheetFormatPr defaultColWidth="8.81640625" defaultRowHeight="12.65" customHeight="1" x14ac:dyDescent="0.35"/>
  <cols>
    <col min="1" max="1" width="8.81640625" style="6"/>
    <col min="2" max="2" width="19.1796875" style="6" customWidth="1"/>
    <col min="3" max="3" width="18.453125" style="6" customWidth="1"/>
    <col min="4" max="4" width="13.81640625" style="6" customWidth="1"/>
    <col min="5" max="5" width="14.453125" style="6" customWidth="1"/>
    <col min="6" max="6" width="13.453125" style="6" customWidth="1"/>
    <col min="7" max="7" width="11.1796875" style="6" customWidth="1"/>
    <col min="8" max="8" width="9.81640625" style="6" customWidth="1"/>
    <col min="9" max="9" width="9.1796875" style="6" customWidth="1"/>
    <col min="10" max="10" width="16.453125" style="6" customWidth="1"/>
    <col min="11" max="11" width="12.81640625" style="6" customWidth="1"/>
    <col min="12" max="12" width="17.81640625" style="6" customWidth="1"/>
    <col min="13" max="13" width="11.453125" style="6" customWidth="1"/>
    <col min="14" max="14" width="14.81640625" style="6" customWidth="1"/>
    <col min="15" max="15" width="13.81640625" style="6" customWidth="1"/>
    <col min="16" max="16" width="11.1796875" style="6" customWidth="1"/>
    <col min="17" max="17" width="10.1796875" style="6" customWidth="1"/>
    <col min="18" max="18" width="61.1796875" style="6" customWidth="1"/>
    <col min="19" max="19" width="35.1796875" style="6" customWidth="1"/>
    <col min="20" max="20" width="18" style="6" customWidth="1"/>
    <col min="21" max="22" width="16.453125" style="6" customWidth="1"/>
    <col min="23" max="23" width="13.1796875" style="6" customWidth="1"/>
    <col min="24" max="24" width="14.1796875" style="6" customWidth="1"/>
    <col min="25" max="25" width="12.453125" style="6" customWidth="1"/>
    <col min="26" max="26" width="48.453125" style="6" customWidth="1"/>
    <col min="27" max="27" width="14" style="6" customWidth="1"/>
    <col min="28" max="28" width="20.1796875" style="6" customWidth="1"/>
    <col min="29" max="29" width="22.453125" style="6" customWidth="1"/>
    <col min="30" max="30" width="11.453125" style="6" customWidth="1"/>
    <col min="31" max="31" width="15.453125" style="6" customWidth="1"/>
    <col min="32" max="16384" width="8.81640625" style="6"/>
  </cols>
  <sheetData>
    <row r="2" spans="1:30" ht="12.65" customHeight="1" x14ac:dyDescent="0.35">
      <c r="A2" s="325" t="s">
        <v>7</v>
      </c>
      <c r="B2" s="326" t="s">
        <v>72</v>
      </c>
      <c r="C2" s="326" t="s">
        <v>116</v>
      </c>
      <c r="D2" s="326" t="s">
        <v>118</v>
      </c>
      <c r="E2" s="326" t="s">
        <v>119</v>
      </c>
      <c r="F2" s="326" t="s">
        <v>120</v>
      </c>
      <c r="G2" s="326" t="s">
        <v>75</v>
      </c>
      <c r="H2" s="326" t="s">
        <v>40</v>
      </c>
      <c r="I2" s="326" t="s">
        <v>145</v>
      </c>
      <c r="J2" s="326" t="s">
        <v>146</v>
      </c>
      <c r="K2" s="326" t="s">
        <v>147</v>
      </c>
      <c r="L2" s="326" t="s">
        <v>148</v>
      </c>
      <c r="M2" s="326" t="s">
        <v>149</v>
      </c>
      <c r="N2" s="326" t="s">
        <v>150</v>
      </c>
      <c r="O2" s="326" t="s">
        <v>151</v>
      </c>
      <c r="P2" s="326" t="s">
        <v>152</v>
      </c>
      <c r="Q2" s="326" t="s">
        <v>153</v>
      </c>
      <c r="R2" s="326" t="s">
        <v>154</v>
      </c>
      <c r="S2" s="326" t="s">
        <v>155</v>
      </c>
      <c r="T2" s="326" t="s">
        <v>156</v>
      </c>
      <c r="U2" s="326" t="s">
        <v>157</v>
      </c>
      <c r="V2" s="326" t="s">
        <v>158</v>
      </c>
      <c r="W2" s="326" t="s">
        <v>159</v>
      </c>
      <c r="X2" s="326" t="s">
        <v>160</v>
      </c>
      <c r="Y2" s="326" t="s">
        <v>161</v>
      </c>
      <c r="Z2" s="326" t="s">
        <v>162</v>
      </c>
      <c r="AA2" s="326" t="s">
        <v>163</v>
      </c>
      <c r="AB2" s="326" t="s">
        <v>164</v>
      </c>
      <c r="AC2" s="326" t="s">
        <v>165</v>
      </c>
      <c r="AD2" s="327" t="s">
        <v>166</v>
      </c>
    </row>
    <row r="3" spans="1:30" ht="12.65" customHeight="1" x14ac:dyDescent="0.35">
      <c r="A3" s="328">
        <v>1</v>
      </c>
      <c r="B3" s="148">
        <v>45760</v>
      </c>
      <c r="C3" s="180">
        <v>2026</v>
      </c>
      <c r="D3" s="155">
        <v>2025</v>
      </c>
      <c r="E3" s="154" t="s">
        <v>167</v>
      </c>
      <c r="F3" s="154" t="s">
        <v>167</v>
      </c>
      <c r="G3" s="228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168</v>
      </c>
      <c r="M3" s="155">
        <v>24213.794999999998</v>
      </c>
      <c r="N3" s="154" t="s">
        <v>169</v>
      </c>
      <c r="O3" s="154" t="s">
        <v>170</v>
      </c>
      <c r="P3" s="329">
        <v>0.997</v>
      </c>
      <c r="Q3" s="155"/>
      <c r="R3" s="154" t="s">
        <v>171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1"/>
      <c r="X3" s="182"/>
      <c r="Y3" s="182">
        <v>2.2000000000000002</v>
      </c>
      <c r="Z3" s="330" t="s">
        <v>172</v>
      </c>
      <c r="AA3" s="154" t="s">
        <v>173</v>
      </c>
      <c r="AB3" s="182">
        <v>2.19</v>
      </c>
      <c r="AC3" s="154">
        <v>1.77</v>
      </c>
      <c r="AD3" s="331">
        <f>_xlfn.XLOOKUP(GA[[#This Row],[Month Year]],'Modelling New'!D:D,'Modelling New'!O:O)*GA[[#This Row],[DC Capacity Affceted (kW)]]*GA[[#This Row],[Lost POA (KWh/m2)]]</f>
        <v>32083.716678551984</v>
      </c>
    </row>
    <row r="4" spans="1:30" ht="12.65" customHeight="1" x14ac:dyDescent="0.35">
      <c r="A4" s="328">
        <f>A3+1</f>
        <v>2</v>
      </c>
      <c r="B4" s="148">
        <v>45794</v>
      </c>
      <c r="C4" s="180">
        <v>2026</v>
      </c>
      <c r="D4" s="155">
        <v>2025</v>
      </c>
      <c r="E4" s="154" t="s">
        <v>167</v>
      </c>
      <c r="F4" s="154" t="s">
        <v>167</v>
      </c>
      <c r="G4" s="228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168</v>
      </c>
      <c r="M4" s="155">
        <f>_xlfn.XLOOKUP(GA[[#This Row],[Affceted Equipment]],'Basic Data'!$A$1:$A$183,'Basic Data'!$B$1:$B$183,0)</f>
        <v>24213.794999999998</v>
      </c>
      <c r="N4" s="154" t="s">
        <v>169</v>
      </c>
      <c r="O4" s="154" t="s">
        <v>170</v>
      </c>
      <c r="P4" s="329">
        <f>IFERROR(VLOOKUP(GA[[#This Row],[Affceted Equipment]],'Basic Data'!$A$2:$C$183,3,0),"")</f>
        <v>0.99727327018121903</v>
      </c>
      <c r="Q4" s="155"/>
      <c r="R4" s="158" t="s">
        <v>174</v>
      </c>
      <c r="S4" s="332">
        <v>0.37361111111111112</v>
      </c>
      <c r="T4" s="332">
        <v>0.375</v>
      </c>
      <c r="U4" s="332">
        <v>0.375</v>
      </c>
      <c r="V4" s="159">
        <v>0.52430555555555558</v>
      </c>
      <c r="W4" s="311"/>
      <c r="X4" s="182"/>
      <c r="Y4" s="182">
        <f>(GA[[#This Row],[Work Completiuon time on fualt]]-GA[[#This Row],[Fault Time]])*24</f>
        <v>3.6166666666666671</v>
      </c>
      <c r="Z4" s="330" t="s">
        <v>175</v>
      </c>
      <c r="AA4" s="154" t="s">
        <v>173</v>
      </c>
      <c r="AB4" s="182">
        <f>IFERROR(GA[[#This Row],[Plant Equivalent Weightage]]*GA[[#This Row],[Resolution Time]],"")</f>
        <v>3.6068049938220761</v>
      </c>
      <c r="AC4" s="154">
        <v>1.99</v>
      </c>
      <c r="AD4" s="331">
        <f>_xlfn.XLOOKUP(GA[[#This Row],[Month Year]],'Modelling New'!D:D,'Modelling New'!O:O)*GA[[#This Row],[DC Capacity Affceted (kW)]]*GA[[#This Row],[Lost POA (KWh/m2)]]</f>
        <v>36412.067649297802</v>
      </c>
    </row>
    <row r="5" spans="1:30" ht="12.65" customHeight="1" x14ac:dyDescent="0.35">
      <c r="A5" s="328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167</v>
      </c>
      <c r="F5" s="154" t="s">
        <v>167</v>
      </c>
      <c r="G5" s="228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168</v>
      </c>
      <c r="M5" s="155">
        <f>_xlfn.XLOOKUP(GA[[#This Row],[Affceted Equipment]],'Basic Data'!$A$1:$A$183,'Basic Data'!$B$1:$B$183,0)</f>
        <v>24213.794999999998</v>
      </c>
      <c r="N5" s="154" t="s">
        <v>169</v>
      </c>
      <c r="O5" s="154" t="s">
        <v>170</v>
      </c>
      <c r="P5" s="329">
        <f>IFERROR(VLOOKUP(GA[[#This Row],[Affceted Equipment]],'Basic Data'!$A$2:$C$183,3,0),"")</f>
        <v>0.99727327018121903</v>
      </c>
      <c r="Q5" s="155"/>
      <c r="R5" s="158" t="s">
        <v>176</v>
      </c>
      <c r="S5" s="332">
        <v>0.3576388888888889</v>
      </c>
      <c r="T5" s="332">
        <v>0.3611111111111111</v>
      </c>
      <c r="U5" s="159">
        <v>0.375</v>
      </c>
      <c r="V5" s="159">
        <v>0.39583333333333331</v>
      </c>
      <c r="W5" s="311"/>
      <c r="X5" s="182"/>
      <c r="Y5" s="182">
        <f>(GA[[#This Row],[Work Completiuon time on fualt]]-GA[[#This Row],[Fault Time]])*24</f>
        <v>0.91666666666666607</v>
      </c>
      <c r="Z5" s="330" t="s">
        <v>177</v>
      </c>
      <c r="AA5" s="154" t="s">
        <v>173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1">
        <f>_xlfn.XLOOKUP(GA[[#This Row],[Month Year]],'Modelling New'!D:D,'Modelling New'!O:O)*GA[[#This Row],[DC Capacity Affceted (kW)]]*GA[[#This Row],[Lost POA (KWh/m2)]]</f>
        <v>5137.1865303577015</v>
      </c>
    </row>
    <row r="6" spans="1:30" ht="12.65" customHeight="1" x14ac:dyDescent="0.35">
      <c r="A6" s="328">
        <f t="shared" si="0"/>
        <v>4</v>
      </c>
      <c r="B6" s="148">
        <v>45821</v>
      </c>
      <c r="C6" s="180">
        <v>2026</v>
      </c>
      <c r="D6" s="155">
        <v>2025</v>
      </c>
      <c r="E6" s="154" t="s">
        <v>167</v>
      </c>
      <c r="F6" s="154" t="s">
        <v>167</v>
      </c>
      <c r="G6" s="320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168</v>
      </c>
      <c r="M6" s="155">
        <f>_xlfn.XLOOKUP(GA[[#This Row],[Affceted Equipment]],'Basic Data'!$A$1:$A$183,'Basic Data'!$B$1:$B$183,0)</f>
        <v>24213.794999999998</v>
      </c>
      <c r="N6" s="154" t="s">
        <v>169</v>
      </c>
      <c r="O6" s="154" t="s">
        <v>170</v>
      </c>
      <c r="P6" s="329">
        <f>IFERROR(VLOOKUP(GA[[#This Row],[Affceted Equipment]],'Basic Data'!$A$2:$C$183,3,0),"")</f>
        <v>0.99727327018121903</v>
      </c>
      <c r="Q6" s="155"/>
      <c r="R6" s="158" t="s">
        <v>178</v>
      </c>
      <c r="S6" s="333">
        <v>0.3527777777777778</v>
      </c>
      <c r="T6" s="333">
        <v>0.3527777777777778</v>
      </c>
      <c r="U6" s="333">
        <v>0.3527777777777778</v>
      </c>
      <c r="V6" s="159">
        <v>0.37638888888888888</v>
      </c>
      <c r="W6" s="311"/>
      <c r="X6" s="182"/>
      <c r="Y6" s="182">
        <f>(GA[[#This Row],[Work Completiuon time on fualt]]-GA[[#This Row],[Fault Time]])*24</f>
        <v>0.56666666666666599</v>
      </c>
      <c r="Z6" s="330" t="s">
        <v>179</v>
      </c>
      <c r="AA6" s="154" t="s">
        <v>173</v>
      </c>
      <c r="AB6" s="182">
        <f>IFERROR(GA[[#This Row],[Plant Equivalent Weightage]]*GA[[#This Row],[Resolution Time]],"")</f>
        <v>0.56512151976935676</v>
      </c>
      <c r="AC6" s="154">
        <v>0.32</v>
      </c>
      <c r="AD6" s="331">
        <v>2312</v>
      </c>
    </row>
    <row r="7" spans="1:30" ht="12.65" customHeight="1" x14ac:dyDescent="0.35">
      <c r="A7" s="328">
        <f t="shared" si="0"/>
        <v>5</v>
      </c>
      <c r="B7" s="148">
        <v>45822</v>
      </c>
      <c r="C7" s="180">
        <v>2026</v>
      </c>
      <c r="D7" s="155">
        <v>2025</v>
      </c>
      <c r="E7" s="154" t="s">
        <v>167</v>
      </c>
      <c r="F7" s="154" t="s">
        <v>167</v>
      </c>
      <c r="G7" s="228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168</v>
      </c>
      <c r="M7" s="155">
        <f>_xlfn.XLOOKUP(GA[[#This Row],[Affceted Equipment]],'Basic Data'!$A$1:$A$183,'Basic Data'!$B$1:$B$183,0)</f>
        <v>24213.794999999998</v>
      </c>
      <c r="N7" s="154" t="s">
        <v>169</v>
      </c>
      <c r="O7" s="154" t="s">
        <v>170</v>
      </c>
      <c r="P7" s="329">
        <f>IFERROR(VLOOKUP(GA[[#This Row],[Affceted Equipment]],'Basic Data'!$A$2:$C$183,3,0),"")</f>
        <v>0.99727327018121903</v>
      </c>
      <c r="Q7" s="155"/>
      <c r="R7" s="158" t="s">
        <v>180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1"/>
      <c r="X7" s="182"/>
      <c r="Y7" s="182">
        <f>(GA[[#This Row],[Work Completiuon time on fualt]]-GA[[#This Row],[Fault Time]])*24</f>
        <v>0.66666666666666696</v>
      </c>
      <c r="Z7" s="330" t="s">
        <v>177</v>
      </c>
      <c r="AA7" s="154" t="s">
        <v>173</v>
      </c>
      <c r="AB7" s="182">
        <f>IFERROR(GA[[#This Row],[Plant Equivalent Weightage]]*GA[[#This Row],[Resolution Time]],"")</f>
        <v>0.66484884678747969</v>
      </c>
      <c r="AC7" s="334">
        <v>0.31</v>
      </c>
      <c r="AD7" s="331">
        <f>_xlfn.XLOOKUP(GA[[#This Row],[Month Year]],'Modelling New'!D:D,'Modelling New'!O:O)*GA[[#This Row],[DC Capacity Affceted (kW)]]*GA[[#This Row],[Lost POA (KWh/m2)]]</f>
        <v>5491.4752565892677</v>
      </c>
    </row>
    <row r="8" spans="1:30" ht="12.65" customHeight="1" x14ac:dyDescent="0.35">
      <c r="A8" s="328">
        <f t="shared" si="0"/>
        <v>6</v>
      </c>
      <c r="B8" s="148">
        <v>45823</v>
      </c>
      <c r="C8" s="180">
        <v>2026</v>
      </c>
      <c r="D8" s="155">
        <v>2025</v>
      </c>
      <c r="E8" s="154" t="s">
        <v>167</v>
      </c>
      <c r="F8" s="154" t="s">
        <v>167</v>
      </c>
      <c r="G8" s="228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168</v>
      </c>
      <c r="M8" s="155">
        <f>_xlfn.XLOOKUP(GA[[#This Row],[Affceted Equipment]],'Basic Data'!$A$1:$A$183,'Basic Data'!$B$1:$B$183,0)</f>
        <v>24213.794999999998</v>
      </c>
      <c r="N8" s="154" t="s">
        <v>169</v>
      </c>
      <c r="O8" s="154" t="s">
        <v>170</v>
      </c>
      <c r="P8" s="329">
        <f>IFERROR(VLOOKUP(GA[[#This Row],[Affceted Equipment]],'Basic Data'!$A$2:$C$183,3,0),"")</f>
        <v>0.99727327018121903</v>
      </c>
      <c r="Q8" s="155"/>
      <c r="R8" s="158" t="s">
        <v>181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1"/>
      <c r="X8" s="182"/>
      <c r="Y8" s="182">
        <f>(GA[[#This Row],[Work Completiuon time on fualt]]-GA[[#This Row],[Fault Time]])*24</f>
        <v>3.0999999999999996</v>
      </c>
      <c r="Z8" s="330" t="s">
        <v>182</v>
      </c>
      <c r="AA8" s="154" t="s">
        <v>173</v>
      </c>
      <c r="AB8" s="182">
        <f>IFERROR(GA[[#This Row],[Plant Equivalent Weightage]]*GA[[#This Row],[Resolution Time]],"")</f>
        <v>3.0915471375617787</v>
      </c>
      <c r="AC8" s="334">
        <v>0.61299999999999999</v>
      </c>
      <c r="AD8" s="331">
        <f>_xlfn.XLOOKUP(GA[[#This Row],[Month Year]],'Modelling New'!D:D,'Modelling New'!O:O)*GA[[#This Row],[DC Capacity Affceted (kW)]]*GA[[#This Row],[Lost POA (KWh/m2)]]</f>
        <v>10858.949458997487</v>
      </c>
    </row>
  </sheetData>
  <phoneticPr fontId="18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H1" zoomScaleNormal="100" workbookViewId="0">
      <selection activeCell="AN5" sqref="AN5"/>
    </sheetView>
  </sheetViews>
  <sheetFormatPr defaultColWidth="8.81640625" defaultRowHeight="14.5" x14ac:dyDescent="0.35"/>
  <cols>
    <col min="1" max="1" width="22" style="8" bestFit="1" customWidth="1"/>
    <col min="2" max="2" width="19.81640625" style="2" bestFit="1" customWidth="1"/>
    <col min="3" max="3" width="18.1796875" style="2" customWidth="1"/>
    <col min="5" max="5" width="27.453125" bestFit="1" customWidth="1"/>
    <col min="7" max="7" width="19.81640625" hidden="1" customWidth="1"/>
    <col min="8" max="8" width="0" hidden="1" customWidth="1"/>
    <col min="9" max="9" width="18.1796875" style="8" hidden="1" customWidth="1"/>
    <col min="10" max="10" width="14.81640625" style="2" hidden="1" customWidth="1"/>
    <col min="11" max="11" width="19.81640625" style="2" hidden="1" customWidth="1"/>
    <col min="12" max="12" width="0" hidden="1" customWidth="1"/>
    <col min="13" max="13" width="6.453125" bestFit="1" customWidth="1"/>
    <col min="14" max="14" width="10" bestFit="1" customWidth="1"/>
    <col min="15" max="15" width="11" bestFit="1" customWidth="1"/>
    <col min="21" max="21" width="17.54296875" bestFit="1" customWidth="1"/>
    <col min="22" max="22" width="10.453125" bestFit="1" customWidth="1"/>
    <col min="34" max="35" width="13.1796875" bestFit="1" customWidth="1"/>
    <col min="38" max="38" width="9.1796875" bestFit="1" customWidth="1"/>
    <col min="40" max="40" width="9.453125" customWidth="1"/>
    <col min="42" max="42" width="10.1796875" customWidth="1"/>
    <col min="48" max="48" width="8.453125" customWidth="1"/>
  </cols>
  <sheetData>
    <row r="1" spans="1:51" s="11" customFormat="1" ht="29" x14ac:dyDescent="0.35">
      <c r="A1" s="36" t="s">
        <v>183</v>
      </c>
      <c r="B1" s="35" t="s">
        <v>184</v>
      </c>
      <c r="C1" s="48" t="s">
        <v>152</v>
      </c>
      <c r="E1" s="34" t="s">
        <v>185</v>
      </c>
      <c r="G1" s="34" t="s">
        <v>186</v>
      </c>
      <c r="I1" s="36" t="s">
        <v>187</v>
      </c>
      <c r="J1" s="35" t="s">
        <v>188</v>
      </c>
      <c r="K1" s="37" t="s">
        <v>152</v>
      </c>
      <c r="M1" s="38" t="s">
        <v>163</v>
      </c>
      <c r="U1" s="137" t="s">
        <v>189</v>
      </c>
      <c r="V1" s="38" t="s">
        <v>190</v>
      </c>
      <c r="AA1" s="214" t="s">
        <v>191</v>
      </c>
      <c r="AB1" s="214" t="s">
        <v>192</v>
      </c>
      <c r="AC1" s="214" t="s">
        <v>193</v>
      </c>
      <c r="AL1" s="59"/>
    </row>
    <row r="2" spans="1:51" s="11" customFormat="1" ht="29" x14ac:dyDescent="0.35">
      <c r="A2" s="142" t="s">
        <v>194</v>
      </c>
      <c r="B2" s="140">
        <v>1075.2</v>
      </c>
      <c r="C2" s="141">
        <f>IFERROR(B2/$V$5,"")</f>
        <v>4.4283360790774301E-2</v>
      </c>
      <c r="E2" s="139" t="s">
        <v>195</v>
      </c>
      <c r="G2" s="139" t="s">
        <v>196</v>
      </c>
      <c r="I2" s="142" t="s">
        <v>197</v>
      </c>
      <c r="J2" s="143">
        <f>5*63</f>
        <v>315</v>
      </c>
      <c r="K2" s="144">
        <f>J2/36540</f>
        <v>8.6206896551724137E-3</v>
      </c>
      <c r="M2" s="11" t="s">
        <v>198</v>
      </c>
      <c r="U2" s="12" t="s">
        <v>199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6">
        <f>AB2/AB4</f>
        <v>0.76374805824497982</v>
      </c>
      <c r="AH2" s="281">
        <f>'Daily Dashboard'!$B$4</f>
        <v>45839</v>
      </c>
      <c r="AK2" s="358" t="s">
        <v>69</v>
      </c>
      <c r="AL2" s="358"/>
      <c r="AM2" s="358"/>
      <c r="AN2" s="358"/>
      <c r="AO2" s="358"/>
      <c r="AP2" s="358"/>
      <c r="AQ2" s="358"/>
      <c r="AR2" s="358"/>
      <c r="AS2" s="358"/>
      <c r="AT2" s="358"/>
      <c r="AU2" s="358"/>
      <c r="AV2" s="358"/>
      <c r="AW2" s="358"/>
      <c r="AX2" s="358"/>
    </row>
    <row r="3" spans="1:51" ht="58" x14ac:dyDescent="0.35">
      <c r="A3" s="7" t="s">
        <v>200</v>
      </c>
      <c r="B3" s="4">
        <v>1228.8</v>
      </c>
      <c r="C3" s="141">
        <f t="shared" ref="C3:C66" si="0">IFERROR(B3/$V$5,"")</f>
        <v>5.060955518945634E-2</v>
      </c>
      <c r="E3" s="3" t="s">
        <v>201</v>
      </c>
      <c r="G3" s="3" t="s">
        <v>202</v>
      </c>
      <c r="I3" s="7" t="s">
        <v>203</v>
      </c>
      <c r="J3" s="5">
        <f>4*63</f>
        <v>252</v>
      </c>
      <c r="K3" s="10">
        <f t="shared" ref="K3:K18" si="1">J3/36540</f>
        <v>6.8965517241379309E-3</v>
      </c>
      <c r="M3" t="s">
        <v>173</v>
      </c>
      <c r="U3" t="s">
        <v>204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205</v>
      </c>
      <c r="AI3" t="s">
        <v>206</v>
      </c>
      <c r="AJ3" t="s">
        <v>207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35">
      <c r="A4" s="7" t="s">
        <v>208</v>
      </c>
      <c r="B4" s="4">
        <v>1075.2</v>
      </c>
      <c r="C4" s="141">
        <f t="shared" si="0"/>
        <v>4.4283360790774301E-2</v>
      </c>
      <c r="E4" s="3" t="s">
        <v>209</v>
      </c>
      <c r="G4" s="3" t="s">
        <v>210</v>
      </c>
      <c r="I4" s="7" t="s">
        <v>211</v>
      </c>
      <c r="J4" s="5">
        <f>3*63</f>
        <v>189</v>
      </c>
      <c r="K4" s="10">
        <f t="shared" si="1"/>
        <v>5.1724137931034482E-3</v>
      </c>
      <c r="U4" s="138" t="s">
        <v>212</v>
      </c>
      <c r="V4" s="146">
        <f>SUM(V2:V3)</f>
        <v>24.28</v>
      </c>
      <c r="AA4" s="215" t="s">
        <v>212</v>
      </c>
      <c r="AB4" s="215">
        <f>SUM(AB2:AB3)</f>
        <v>12710.794999999996</v>
      </c>
      <c r="AF4" s="11" t="s">
        <v>36</v>
      </c>
      <c r="AG4" s="11" t="s">
        <v>213</v>
      </c>
      <c r="AH4" s="218">
        <f>'Daily Dashboard'!B5</f>
        <v>45869</v>
      </c>
      <c r="AI4" s="218">
        <f>AH4</f>
        <v>45869</v>
      </c>
      <c r="AJ4" s="211">
        <v>11.5031</v>
      </c>
      <c r="AK4" s="47"/>
      <c r="AL4" s="43">
        <v>1</v>
      </c>
      <c r="AM4" s="220">
        <f>_xlfn.XLOOKUP(AI4,'Daily KPI'!$A:$A,'Daily KPI'!$AC:$AC)</f>
        <v>4.4064516129032256</v>
      </c>
      <c r="AN4" s="68">
        <f>_xlfn.XLOOKUP($AI4,'Raw Data'!$A:$A,'Raw Data'!AP:AP)</f>
        <v>4.4400000000000004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39.029999999999994</v>
      </c>
      <c r="AQ4" s="45">
        <f t="shared" ref="AQ4:AQ9" si="2">AO4/AM4/AJ4</f>
        <v>0.71045083599275849</v>
      </c>
      <c r="AR4" s="46">
        <f t="shared" ref="AR4:AR9" si="3">AP4/AN4/AJ4</f>
        <v>0.76418883088389555</v>
      </c>
      <c r="AS4" s="45">
        <f>AO4/AJ4/24*AL4</f>
        <v>0.13044030133953066</v>
      </c>
      <c r="AT4" s="46">
        <f>AP4/AJ4/(24*AL4)</f>
        <v>0.1413749337135207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0.99937335518893367</v>
      </c>
    </row>
    <row r="5" spans="1:51" x14ac:dyDescent="0.35">
      <c r="A5" s="7" t="s">
        <v>214</v>
      </c>
      <c r="B5" s="4">
        <v>1228.5</v>
      </c>
      <c r="C5" s="141">
        <f t="shared" si="0"/>
        <v>5.0597199341021415E-2</v>
      </c>
      <c r="E5" s="3" t="s">
        <v>215</v>
      </c>
      <c r="G5" s="3"/>
      <c r="I5" s="7"/>
      <c r="J5" s="5"/>
      <c r="K5" s="10"/>
      <c r="O5" t="s">
        <v>216</v>
      </c>
      <c r="P5" t="s">
        <v>217</v>
      </c>
      <c r="Q5" t="s">
        <v>218</v>
      </c>
      <c r="R5" t="s">
        <v>219</v>
      </c>
      <c r="V5" s="2">
        <f>V4*1000</f>
        <v>24280</v>
      </c>
      <c r="AF5" s="11" t="s">
        <v>36</v>
      </c>
      <c r="AG5" t="s">
        <v>220</v>
      </c>
      <c r="AH5" s="218">
        <f>'Monthly KPI'!A4</f>
        <v>45839</v>
      </c>
      <c r="AI5" s="218">
        <f>$AI$4</f>
        <v>45869</v>
      </c>
      <c r="AJ5" s="211">
        <v>11.5031</v>
      </c>
      <c r="AK5" s="47"/>
      <c r="AL5" s="43">
        <f>AI5-AH5+1</f>
        <v>31</v>
      </c>
      <c r="AM5" s="220">
        <f>_xlfn.XLOOKUP($AH$2,'Modelling New'!$D:$D,'Modelling New'!$R:$R)</f>
        <v>136.6</v>
      </c>
      <c r="AN5" s="68">
        <f>SUMIF('Raw Data'!F:F,'Basic Data'!AH2,'Raw Data'!AP:AP)</f>
        <v>115.03600000000002</v>
      </c>
      <c r="AO5" s="43">
        <f>_xlfn.XLOOKUP($AH$2,$AM$11:$AM$47,$AT$11:$AT$47)</f>
        <v>1116.3480657720338</v>
      </c>
      <c r="AP5" s="44">
        <f>(SUMIF('Raw Data'!$F:$F,'Basic Data'!$AH2,'Raw Data'!BN:BN)/1000)-(SUMIF('Raw Data'!$F:$F,'Basic Data'!$AH2,'Raw Data'!BO:BO)/1000)</f>
        <v>969.87</v>
      </c>
      <c r="AQ5" s="45">
        <f t="shared" si="2"/>
        <v>0.71045083599275849</v>
      </c>
      <c r="AR5" s="46">
        <f t="shared" si="3"/>
        <v>0.73293398304017765</v>
      </c>
      <c r="AS5" s="45">
        <f>AO5/AJ5/(24*AL5)</f>
        <v>0.13044030133953066</v>
      </c>
      <c r="AT5" s="46">
        <f t="shared" ref="AT5:AT9" si="4">AP5/AJ5/(24*AL5)</f>
        <v>0.11332499149598102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0.96254935764567784</v>
      </c>
    </row>
    <row r="6" spans="1:51" x14ac:dyDescent="0.35">
      <c r="A6" s="7" t="s">
        <v>221</v>
      </c>
      <c r="B6" s="4">
        <v>1248</v>
      </c>
      <c r="C6" s="141">
        <f t="shared" si="0"/>
        <v>5.1400329489291595E-2</v>
      </c>
      <c r="E6" s="3" t="s">
        <v>222</v>
      </c>
      <c r="G6" s="3"/>
      <c r="I6" s="7"/>
      <c r="J6" s="5"/>
      <c r="K6" s="10"/>
      <c r="N6" t="s">
        <v>223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224</v>
      </c>
      <c r="AH6" s="218">
        <f>'Daily Dashboard'!B7</f>
        <v>45748</v>
      </c>
      <c r="AI6" s="218">
        <f>$AI$4</f>
        <v>45869</v>
      </c>
      <c r="AJ6" s="211">
        <v>11.5031</v>
      </c>
      <c r="AK6" s="47"/>
      <c r="AL6" s="43">
        <f>AI6-AH6+1</f>
        <v>122</v>
      </c>
      <c r="AM6" s="220">
        <f>_xlfn.XLOOKUP($AH$2,'Modelling New'!$D:$D,'Modelling New'!$S:$S)</f>
        <v>691.4</v>
      </c>
      <c r="AN6" s="68">
        <f>SUMIFS('Raw Data'!AP:AP,'Raw Data'!$A:$A,"&gt;="&amp;'Basic Data'!$AH6,'Raw Data'!$A:$A,"&lt;="&amp;'Basic Data'!$AI6)</f>
        <v>607.27217599999994</v>
      </c>
      <c r="AO6" s="43">
        <f>_xlfn.XLOOKUP($AH$2,$AM$11:$AM$47,$AU$11:$AU$47)</f>
        <v>5424.9576222719279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4746.21</v>
      </c>
      <c r="AQ6" s="45">
        <f t="shared" si="2"/>
        <v>0.68210632950052896</v>
      </c>
      <c r="AR6" s="46">
        <f t="shared" si="3"/>
        <v>0.67943618366887015</v>
      </c>
      <c r="AS6" s="45">
        <f>AO6/AJ6/(24*AL6)</f>
        <v>0.16106841400842409</v>
      </c>
      <c r="AT6" s="46">
        <f t="shared" si="4"/>
        <v>0.1409162191631593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0.99209933133271022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0.9689856588219895</v>
      </c>
    </row>
    <row r="7" spans="1:51" x14ac:dyDescent="0.35">
      <c r="A7" s="7" t="s">
        <v>225</v>
      </c>
      <c r="B7" s="4">
        <v>1053</v>
      </c>
      <c r="C7" s="141">
        <f t="shared" si="0"/>
        <v>4.3369028006589788E-2</v>
      </c>
      <c r="E7" s="3" t="s">
        <v>226</v>
      </c>
      <c r="G7" s="3"/>
      <c r="I7" s="7"/>
      <c r="J7" s="5"/>
      <c r="K7" s="10"/>
      <c r="N7" t="s">
        <v>227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228</v>
      </c>
      <c r="AG7" s="11" t="s">
        <v>213</v>
      </c>
      <c r="AH7" s="218">
        <f>AH4</f>
        <v>45869</v>
      </c>
      <c r="AI7" s="218">
        <f>$AI$4</f>
        <v>45869</v>
      </c>
      <c r="AJ7" s="211">
        <v>12.775</v>
      </c>
      <c r="AK7" s="47"/>
      <c r="AL7" s="43">
        <f>AL4</f>
        <v>1</v>
      </c>
      <c r="AM7" s="220">
        <f>_xlfn.XLOOKUP(AI7,'Daily KPI'!$A:$A,'Daily KPI'!$AC:$AC)</f>
        <v>4.4064516129032256</v>
      </c>
      <c r="AN7" s="68">
        <f>_xlfn.XLOOKUP($AI$7,'Raw Data'!A:A,'Raw Data'!AQ:AQ)</f>
        <v>4.532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49.711200000000005</v>
      </c>
      <c r="AQ7" s="45">
        <f t="shared" si="2"/>
        <v>0.73660958057312542</v>
      </c>
      <c r="AR7" s="46">
        <f t="shared" si="3"/>
        <v>0.85862481712993755</v>
      </c>
      <c r="AS7" s="45">
        <f>AO7/AJ7/(24*AL7)</f>
        <v>0.13524310309985074</v>
      </c>
      <c r="AT7" s="46">
        <f t="shared" si="4"/>
        <v>0.16213698630136988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0.99937335518893367</v>
      </c>
    </row>
    <row r="8" spans="1:51" x14ac:dyDescent="0.35">
      <c r="A8" s="7" t="s">
        <v>229</v>
      </c>
      <c r="B8" s="4">
        <v>1222</v>
      </c>
      <c r="C8" s="141">
        <f t="shared" si="0"/>
        <v>5.0329489291598022E-2</v>
      </c>
      <c r="E8" s="3" t="s">
        <v>230</v>
      </c>
      <c r="G8" s="3"/>
      <c r="I8" s="7"/>
      <c r="J8" s="5"/>
      <c r="K8" s="10"/>
      <c r="N8" t="s">
        <v>231</v>
      </c>
      <c r="O8">
        <f t="shared" si="5"/>
        <v>153.6</v>
      </c>
      <c r="P8">
        <v>24</v>
      </c>
      <c r="Q8">
        <v>320</v>
      </c>
      <c r="R8">
        <v>20</v>
      </c>
      <c r="AF8" s="11" t="s">
        <v>228</v>
      </c>
      <c r="AG8" t="s">
        <v>220</v>
      </c>
      <c r="AH8" s="218">
        <f>AH5</f>
        <v>45839</v>
      </c>
      <c r="AI8" s="218">
        <f>$AI$4</f>
        <v>45869</v>
      </c>
      <c r="AJ8" s="211">
        <v>12.775</v>
      </c>
      <c r="AK8" s="47"/>
      <c r="AL8" s="43">
        <f>AL5</f>
        <v>31</v>
      </c>
      <c r="AM8" s="220">
        <f>_xlfn.XLOOKUP($AH$2,'Modelling New'!$D:$D,'Modelling New'!$R:$R)</f>
        <v>136.6</v>
      </c>
      <c r="AN8" s="68">
        <f>SUMIF('Raw Data'!F:F,'Basic Data'!$AH2,'Raw Data'!AQ:AQ)</f>
        <v>112.13499999999999</v>
      </c>
      <c r="AO8" s="43">
        <f>_xlfn.XLOOKUP($AH$2,$AM$11:$AM$47,$AX$11:$AX$47)</f>
        <v>1285.4315977228412</v>
      </c>
      <c r="AP8" s="44">
        <f>(SUMIF('Raw Data'!$F:$F,'Basic Data'!$AH2,'Raw Data'!BP:BP)/1000)-(SUMIF('Raw Data'!$F:$F,'Basic Data'!$AH2,'Raw Data'!BQ:BQ)/1000)</f>
        <v>1242.3666000000001</v>
      </c>
      <c r="AQ8" s="45">
        <f t="shared" si="2"/>
        <v>0.73660958057312542</v>
      </c>
      <c r="AR8" s="46">
        <f t="shared" si="3"/>
        <v>0.86725671469696386</v>
      </c>
      <c r="AS8" s="45">
        <f>AO8/AJ8/(24*AL8)</f>
        <v>0.13524310309985071</v>
      </c>
      <c r="AT8" s="46">
        <f t="shared" si="4"/>
        <v>0.13071213938513981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0.96254935764567784</v>
      </c>
    </row>
    <row r="9" spans="1:51" x14ac:dyDescent="0.35">
      <c r="A9" s="7" t="s">
        <v>232</v>
      </c>
      <c r="B9" s="4">
        <v>1075.2</v>
      </c>
      <c r="C9" s="141">
        <f t="shared" si="0"/>
        <v>4.4283360790774301E-2</v>
      </c>
      <c r="E9" s="3" t="s">
        <v>233</v>
      </c>
      <c r="G9" s="3"/>
      <c r="I9" s="7"/>
      <c r="J9" s="5"/>
      <c r="K9" s="10"/>
      <c r="N9" t="s">
        <v>234</v>
      </c>
      <c r="O9">
        <f t="shared" si="5"/>
        <v>153.6</v>
      </c>
      <c r="P9">
        <v>24</v>
      </c>
      <c r="Q9">
        <v>320</v>
      </c>
      <c r="R9">
        <v>20</v>
      </c>
      <c r="U9" t="s">
        <v>235</v>
      </c>
      <c r="V9">
        <v>60</v>
      </c>
      <c r="W9" t="s">
        <v>236</v>
      </c>
      <c r="AF9" s="11" t="s">
        <v>228</v>
      </c>
      <c r="AG9" t="s">
        <v>224</v>
      </c>
      <c r="AH9" s="219">
        <f>AH6</f>
        <v>45748</v>
      </c>
      <c r="AI9" s="218">
        <f>$AI$4</f>
        <v>45869</v>
      </c>
      <c r="AJ9" s="211">
        <v>12.775</v>
      </c>
      <c r="AK9" s="47"/>
      <c r="AL9" s="43">
        <f>AI9-AH9+1</f>
        <v>122</v>
      </c>
      <c r="AM9" s="220">
        <f>_xlfn.XLOOKUP($AH$2,'Modelling New'!$D:$D,'Modelling New'!$S:$S)</f>
        <v>691.4</v>
      </c>
      <c r="AN9" s="68">
        <f>SUMIFS('Raw Data'!AQ:AQ,'Raw Data'!$A:$A,"&gt;="&amp;'Basic Data'!$AH9,'Raw Data'!$A:$A,"&lt;="&amp;'Basic Data'!$AI9)</f>
        <v>597.82482166666671</v>
      </c>
      <c r="AO9" s="43">
        <f>_xlfn.XLOOKUP($AH$2,$AM$11:$AM$47,$AY$11:$AY$47)</f>
        <v>7041.6482025908936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6456.6266999999998</v>
      </c>
      <c r="AQ9" s="45">
        <f t="shared" si="2"/>
        <v>0.79723074740333932</v>
      </c>
      <c r="AR9" s="46">
        <f t="shared" si="3"/>
        <v>0.84541670679964198</v>
      </c>
      <c r="AS9" s="45">
        <f>AO9/AJ9/(24*AL9)</f>
        <v>0.18825318946539235</v>
      </c>
      <c r="AT9" s="46">
        <f t="shared" si="4"/>
        <v>0.17261307786083219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0.99209933133271022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0.9689856588219895</v>
      </c>
    </row>
    <row r="10" spans="1:51" x14ac:dyDescent="0.35">
      <c r="A10" s="7" t="s">
        <v>237</v>
      </c>
      <c r="B10" s="4">
        <v>1222</v>
      </c>
      <c r="C10" s="141">
        <f t="shared" si="0"/>
        <v>5.0329489291598022E-2</v>
      </c>
      <c r="E10" s="3" t="s">
        <v>238</v>
      </c>
      <c r="G10" s="3"/>
      <c r="I10" s="7"/>
      <c r="J10" s="5"/>
      <c r="K10" s="10"/>
      <c r="N10" t="s">
        <v>239</v>
      </c>
      <c r="O10">
        <f t="shared" si="5"/>
        <v>153.6</v>
      </c>
      <c r="P10">
        <v>24</v>
      </c>
      <c r="Q10">
        <v>320</v>
      </c>
      <c r="R10">
        <v>20</v>
      </c>
      <c r="U10" t="s">
        <v>240</v>
      </c>
      <c r="V10">
        <v>45</v>
      </c>
      <c r="W10" t="s">
        <v>241</v>
      </c>
    </row>
    <row r="11" spans="1:51" ht="43.5" x14ac:dyDescent="0.35">
      <c r="A11" s="7" t="s">
        <v>242</v>
      </c>
      <c r="B11" s="4">
        <v>1075.2</v>
      </c>
      <c r="C11" s="141">
        <f t="shared" si="0"/>
        <v>4.4283360790774301E-2</v>
      </c>
      <c r="E11" s="3" t="s">
        <v>243</v>
      </c>
      <c r="G11" s="3"/>
      <c r="I11" s="7"/>
      <c r="J11" s="5"/>
      <c r="K11" s="10"/>
      <c r="N11" t="s">
        <v>244</v>
      </c>
      <c r="O11">
        <f t="shared" si="5"/>
        <v>153.6</v>
      </c>
      <c r="P11">
        <v>24</v>
      </c>
      <c r="Q11">
        <v>320</v>
      </c>
      <c r="R11">
        <v>20</v>
      </c>
      <c r="U11" t="s">
        <v>245</v>
      </c>
      <c r="V11">
        <v>90</v>
      </c>
      <c r="W11">
        <v>7.8</v>
      </c>
      <c r="AK11" s="255" t="s">
        <v>246</v>
      </c>
      <c r="AL11" s="255" t="s">
        <v>247</v>
      </c>
      <c r="AM11" s="255" t="s">
        <v>248</v>
      </c>
      <c r="AN11" s="255" t="s">
        <v>249</v>
      </c>
      <c r="AO11" s="255" t="s">
        <v>250</v>
      </c>
      <c r="AP11" s="255" t="s">
        <v>251</v>
      </c>
      <c r="AQ11" s="255" t="s">
        <v>252</v>
      </c>
      <c r="AR11" s="255" t="s">
        <v>253</v>
      </c>
      <c r="AS11" s="255" t="s">
        <v>254</v>
      </c>
      <c r="AT11" s="255" t="s">
        <v>255</v>
      </c>
      <c r="AU11" s="255" t="s">
        <v>256</v>
      </c>
      <c r="AV11" s="256" t="s">
        <v>257</v>
      </c>
      <c r="AW11" s="256" t="s">
        <v>258</v>
      </c>
      <c r="AX11" s="256" t="s">
        <v>259</v>
      </c>
      <c r="AY11" s="256" t="s">
        <v>260</v>
      </c>
    </row>
    <row r="12" spans="1:51" x14ac:dyDescent="0.35">
      <c r="A12" s="7" t="s">
        <v>261</v>
      </c>
      <c r="B12" s="4">
        <v>153.6</v>
      </c>
      <c r="C12" s="141">
        <f t="shared" si="0"/>
        <v>6.3261943986820425E-3</v>
      </c>
      <c r="E12" s="3" t="s">
        <v>262</v>
      </c>
      <c r="G12" s="3"/>
      <c r="I12" s="7" t="s">
        <v>263</v>
      </c>
      <c r="J12" s="5">
        <f>4*63</f>
        <v>252</v>
      </c>
      <c r="K12" s="10">
        <f t="shared" si="1"/>
        <v>6.8965517241379309E-3</v>
      </c>
      <c r="N12" t="s">
        <v>264</v>
      </c>
      <c r="O12">
        <f t="shared" si="5"/>
        <v>153.6</v>
      </c>
      <c r="P12">
        <v>24</v>
      </c>
      <c r="Q12">
        <v>320</v>
      </c>
      <c r="R12">
        <v>20</v>
      </c>
      <c r="U12" t="s">
        <v>265</v>
      </c>
      <c r="V12">
        <v>30</v>
      </c>
      <c r="W12">
        <v>2.2000000000000002</v>
      </c>
      <c r="AK12" s="267" t="s">
        <v>266</v>
      </c>
      <c r="AL12" s="268">
        <v>4</v>
      </c>
      <c r="AM12" s="269">
        <v>45017</v>
      </c>
      <c r="AN12" s="270">
        <f t="shared" ref="AN12:AN13" si="6">YEAR(AM12)</f>
        <v>2023</v>
      </c>
      <c r="AO12" s="270" t="s">
        <v>267</v>
      </c>
      <c r="AP12" s="271">
        <f t="shared" ref="AP12:AP13" si="7">DAY(EOMONTH(AM12,0))</f>
        <v>30</v>
      </c>
      <c r="AQ12">
        <f>'Modelling New'!Q2</f>
        <v>0</v>
      </c>
      <c r="AR12" s="257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58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35">
      <c r="A13" s="7" t="s">
        <v>268</v>
      </c>
      <c r="B13" s="4">
        <v>153.6</v>
      </c>
      <c r="C13" s="141">
        <f t="shared" si="0"/>
        <v>6.3261943986820425E-3</v>
      </c>
      <c r="E13" s="3" t="s">
        <v>269</v>
      </c>
      <c r="I13" s="7" t="s">
        <v>270</v>
      </c>
      <c r="J13" s="5">
        <f>3*63</f>
        <v>189</v>
      </c>
      <c r="K13" s="10">
        <f t="shared" si="1"/>
        <v>5.1724137931034482E-3</v>
      </c>
      <c r="N13" t="s">
        <v>271</v>
      </c>
      <c r="O13">
        <f t="shared" si="5"/>
        <v>0</v>
      </c>
      <c r="P13">
        <v>0</v>
      </c>
      <c r="Q13">
        <v>320</v>
      </c>
      <c r="R13">
        <v>20</v>
      </c>
      <c r="AK13" s="272" t="s">
        <v>272</v>
      </c>
      <c r="AL13" s="273">
        <v>5</v>
      </c>
      <c r="AM13" s="274">
        <v>45047</v>
      </c>
      <c r="AN13" s="275">
        <f t="shared" si="6"/>
        <v>2023</v>
      </c>
      <c r="AO13" s="276" t="s">
        <v>267</v>
      </c>
      <c r="AP13" s="249">
        <f t="shared" si="7"/>
        <v>31</v>
      </c>
      <c r="AQ13">
        <f>'Modelling New'!Q3</f>
        <v>0</v>
      </c>
      <c r="AR13" s="259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0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35">
      <c r="A14" s="7" t="s">
        <v>273</v>
      </c>
      <c r="B14" s="4">
        <v>153.6</v>
      </c>
      <c r="C14" s="141">
        <f t="shared" si="0"/>
        <v>6.3261943986820425E-3</v>
      </c>
      <c r="E14" s="3" t="s">
        <v>274</v>
      </c>
      <c r="I14" s="7" t="s">
        <v>275</v>
      </c>
      <c r="J14" s="5">
        <f>5*42</f>
        <v>210</v>
      </c>
      <c r="K14" s="10">
        <f t="shared" si="1"/>
        <v>5.7471264367816091E-3</v>
      </c>
      <c r="N14" t="s">
        <v>276</v>
      </c>
      <c r="O14">
        <f t="shared" si="5"/>
        <v>153.6</v>
      </c>
      <c r="P14">
        <v>24</v>
      </c>
      <c r="Q14">
        <v>320</v>
      </c>
      <c r="R14">
        <v>20</v>
      </c>
      <c r="AK14" s="267" t="s">
        <v>277</v>
      </c>
      <c r="AL14" s="268">
        <v>6</v>
      </c>
      <c r="AM14" s="269">
        <v>45078</v>
      </c>
      <c r="AN14" s="270">
        <f>YEAR(AM14)</f>
        <v>2023</v>
      </c>
      <c r="AO14" s="270" t="s">
        <v>267</v>
      </c>
      <c r="AP14" s="271">
        <f>DAY(EOMONTH(AM14,0))</f>
        <v>30</v>
      </c>
      <c r="AQ14">
        <f>'Modelling New'!Q4</f>
        <v>0</v>
      </c>
      <c r="AR14" s="257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58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35">
      <c r="A15" s="7" t="s">
        <v>278</v>
      </c>
      <c r="B15" s="4">
        <v>153.6</v>
      </c>
      <c r="C15" s="141">
        <f t="shared" si="0"/>
        <v>6.3261943986820425E-3</v>
      </c>
      <c r="E15" s="3" t="s">
        <v>279</v>
      </c>
      <c r="I15" s="7" t="s">
        <v>280</v>
      </c>
      <c r="J15" s="5">
        <f>4*42</f>
        <v>168</v>
      </c>
      <c r="K15" s="10">
        <f t="shared" si="1"/>
        <v>4.5977011494252873E-3</v>
      </c>
      <c r="N15" t="s">
        <v>281</v>
      </c>
      <c r="O15">
        <f t="shared" si="5"/>
        <v>153.6</v>
      </c>
      <c r="P15">
        <v>24</v>
      </c>
      <c r="Q15">
        <v>320</v>
      </c>
      <c r="R15">
        <v>20</v>
      </c>
      <c r="AK15" s="272" t="s">
        <v>282</v>
      </c>
      <c r="AL15" s="273">
        <v>7</v>
      </c>
      <c r="AM15" s="274">
        <v>45108</v>
      </c>
      <c r="AN15" s="275">
        <f>YEAR(AM15)</f>
        <v>2023</v>
      </c>
      <c r="AO15" s="276" t="s">
        <v>267</v>
      </c>
      <c r="AP15" s="249">
        <f>DAY(EOMONTH(AM15,0))</f>
        <v>31</v>
      </c>
      <c r="AQ15">
        <f>'Modelling New'!Q5</f>
        <v>0</v>
      </c>
      <c r="AR15" s="259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0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35">
      <c r="A16" s="7" t="s">
        <v>283</v>
      </c>
      <c r="B16" s="4">
        <v>153.6</v>
      </c>
      <c r="C16" s="141">
        <f t="shared" si="0"/>
        <v>6.3261943986820425E-3</v>
      </c>
      <c r="E16" s="3" t="s">
        <v>284</v>
      </c>
      <c r="I16" s="7" t="s">
        <v>285</v>
      </c>
      <c r="J16" s="5">
        <f>3*42</f>
        <v>126</v>
      </c>
      <c r="K16" s="10">
        <f t="shared" si="1"/>
        <v>3.4482758620689655E-3</v>
      </c>
      <c r="N16" t="s">
        <v>286</v>
      </c>
      <c r="O16">
        <f t="shared" si="5"/>
        <v>153.6</v>
      </c>
      <c r="P16">
        <v>24</v>
      </c>
      <c r="Q16">
        <v>320</v>
      </c>
      <c r="R16">
        <v>20</v>
      </c>
      <c r="AK16" s="267" t="s">
        <v>287</v>
      </c>
      <c r="AL16" s="268">
        <v>8</v>
      </c>
      <c r="AM16" s="269">
        <v>45139</v>
      </c>
      <c r="AN16" s="270">
        <f t="shared" ref="AN16:AN23" si="12">YEAR(AM16)</f>
        <v>2023</v>
      </c>
      <c r="AO16" s="270" t="s">
        <v>267</v>
      </c>
      <c r="AP16" s="271">
        <f t="shared" ref="AP16:AP23" si="13">DAY(EOMONTH(AM16,0))</f>
        <v>31</v>
      </c>
      <c r="AQ16">
        <f>'Modelling New'!Q6</f>
        <v>0</v>
      </c>
      <c r="AR16" s="257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58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35">
      <c r="A17" s="7" t="s">
        <v>288</v>
      </c>
      <c r="B17" s="4">
        <v>153.6</v>
      </c>
      <c r="C17" s="141">
        <f t="shared" si="0"/>
        <v>6.3261943986820425E-3</v>
      </c>
      <c r="E17" s="3" t="s">
        <v>170</v>
      </c>
      <c r="I17" s="7" t="s">
        <v>289</v>
      </c>
      <c r="J17" s="5">
        <v>63</v>
      </c>
      <c r="K17" s="10">
        <f t="shared" si="1"/>
        <v>1.7241379310344827E-3</v>
      </c>
      <c r="N17" t="s">
        <v>290</v>
      </c>
      <c r="O17">
        <f t="shared" si="5"/>
        <v>153.6</v>
      </c>
      <c r="P17">
        <v>24</v>
      </c>
      <c r="Q17">
        <v>320</v>
      </c>
      <c r="R17">
        <v>20</v>
      </c>
      <c r="AK17" s="272" t="s">
        <v>291</v>
      </c>
      <c r="AL17" s="273">
        <v>9</v>
      </c>
      <c r="AM17" s="274">
        <v>45170</v>
      </c>
      <c r="AN17" s="276">
        <f t="shared" si="12"/>
        <v>2023</v>
      </c>
      <c r="AO17" s="276" t="s">
        <v>267</v>
      </c>
      <c r="AP17" s="249">
        <f t="shared" si="13"/>
        <v>30</v>
      </c>
      <c r="AQ17">
        <f>'Modelling New'!Q7</f>
        <v>0</v>
      </c>
      <c r="AR17" s="259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0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35">
      <c r="A18" s="7" t="s">
        <v>292</v>
      </c>
      <c r="B18" s="4">
        <v>153.6</v>
      </c>
      <c r="C18" s="141">
        <f t="shared" si="0"/>
        <v>6.3261943986820425E-3</v>
      </c>
      <c r="E18" s="3" t="s">
        <v>293</v>
      </c>
      <c r="I18" s="7" t="s">
        <v>294</v>
      </c>
      <c r="J18" s="5">
        <v>42</v>
      </c>
      <c r="K18" s="10">
        <f t="shared" si="1"/>
        <v>1.1494252873563218E-3</v>
      </c>
      <c r="N18" t="s">
        <v>295</v>
      </c>
      <c r="O18">
        <f t="shared" si="5"/>
        <v>153.6</v>
      </c>
      <c r="P18">
        <v>24</v>
      </c>
      <c r="Q18">
        <v>320</v>
      </c>
      <c r="R18">
        <v>20</v>
      </c>
      <c r="AK18" s="267" t="s">
        <v>296</v>
      </c>
      <c r="AL18" s="268">
        <v>10</v>
      </c>
      <c r="AM18" s="269">
        <v>45200</v>
      </c>
      <c r="AN18" s="277">
        <f t="shared" si="12"/>
        <v>2023</v>
      </c>
      <c r="AO18" s="270" t="s">
        <v>267</v>
      </c>
      <c r="AP18" s="271">
        <f t="shared" si="13"/>
        <v>31</v>
      </c>
      <c r="AQ18">
        <f>'Modelling New'!Q8</f>
        <v>0</v>
      </c>
      <c r="AR18" s="257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58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35">
      <c r="A19" s="7" t="s">
        <v>297</v>
      </c>
      <c r="B19" s="4">
        <v>0</v>
      </c>
      <c r="C19" s="141">
        <f t="shared" si="0"/>
        <v>0</v>
      </c>
      <c r="E19" s="3" t="s">
        <v>298</v>
      </c>
      <c r="I19" s="7" t="s">
        <v>299</v>
      </c>
      <c r="J19" s="5"/>
      <c r="K19" s="5"/>
      <c r="N19" t="s">
        <v>300</v>
      </c>
      <c r="O19">
        <f t="shared" si="5"/>
        <v>153.6</v>
      </c>
      <c r="P19">
        <v>24</v>
      </c>
      <c r="Q19">
        <v>320</v>
      </c>
      <c r="R19">
        <v>20</v>
      </c>
      <c r="AK19" s="272" t="s">
        <v>301</v>
      </c>
      <c r="AL19" s="273">
        <v>11</v>
      </c>
      <c r="AM19" s="274">
        <v>45231</v>
      </c>
      <c r="AN19" s="276">
        <f t="shared" si="12"/>
        <v>2023</v>
      </c>
      <c r="AO19" s="276" t="s">
        <v>267</v>
      </c>
      <c r="AP19" s="278">
        <f t="shared" si="13"/>
        <v>30</v>
      </c>
      <c r="AQ19">
        <f>'Modelling New'!Q9</f>
        <v>0</v>
      </c>
      <c r="AR19" s="259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0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35">
      <c r="A20" s="7" t="s">
        <v>302</v>
      </c>
      <c r="B20" s="4">
        <v>153.6</v>
      </c>
      <c r="C20" s="141">
        <f t="shared" si="0"/>
        <v>6.3261943986820425E-3</v>
      </c>
      <c r="E20" s="3" t="s">
        <v>303</v>
      </c>
      <c r="I20" s="7" t="s">
        <v>304</v>
      </c>
      <c r="J20" s="5"/>
      <c r="K20" s="5"/>
      <c r="N20" t="s">
        <v>305</v>
      </c>
      <c r="O20">
        <f t="shared" si="5"/>
        <v>153.6</v>
      </c>
      <c r="P20">
        <v>24</v>
      </c>
      <c r="Q20">
        <v>320</v>
      </c>
      <c r="R20">
        <v>20</v>
      </c>
      <c r="AK20" s="267" t="s">
        <v>306</v>
      </c>
      <c r="AL20" s="268">
        <v>12</v>
      </c>
      <c r="AM20" s="269">
        <v>45261</v>
      </c>
      <c r="AN20" s="277">
        <f t="shared" si="12"/>
        <v>2023</v>
      </c>
      <c r="AO20" s="270" t="s">
        <v>267</v>
      </c>
      <c r="AP20" s="279">
        <f t="shared" si="13"/>
        <v>31</v>
      </c>
      <c r="AQ20">
        <f>'Modelling New'!Q10</f>
        <v>0</v>
      </c>
      <c r="AR20" s="257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58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35">
      <c r="A21" s="7" t="s">
        <v>307</v>
      </c>
      <c r="B21" s="4">
        <v>153.6</v>
      </c>
      <c r="C21" s="141">
        <f t="shared" si="0"/>
        <v>6.3261943986820425E-3</v>
      </c>
      <c r="E21" s="3" t="s">
        <v>308</v>
      </c>
      <c r="I21" s="7" t="s">
        <v>309</v>
      </c>
      <c r="J21" s="5"/>
      <c r="K21" s="5"/>
      <c r="N21" t="s">
        <v>310</v>
      </c>
      <c r="O21">
        <f t="shared" si="5"/>
        <v>153.6</v>
      </c>
      <c r="P21">
        <v>24</v>
      </c>
      <c r="Q21">
        <v>320</v>
      </c>
      <c r="R21">
        <v>20</v>
      </c>
      <c r="AK21" s="272" t="s">
        <v>311</v>
      </c>
      <c r="AL21" s="273">
        <v>1</v>
      </c>
      <c r="AM21" s="274">
        <v>45292</v>
      </c>
      <c r="AN21" s="276">
        <f t="shared" si="12"/>
        <v>2024</v>
      </c>
      <c r="AO21" s="276" t="s">
        <v>267</v>
      </c>
      <c r="AP21" s="278">
        <f t="shared" si="13"/>
        <v>31</v>
      </c>
      <c r="AQ21">
        <f>'Modelling New'!Q11</f>
        <v>0</v>
      </c>
      <c r="AR21" s="259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0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35">
      <c r="A22" s="7" t="s">
        <v>312</v>
      </c>
      <c r="B22" s="4">
        <v>153.6</v>
      </c>
      <c r="C22" s="141">
        <f t="shared" si="0"/>
        <v>6.3261943986820425E-3</v>
      </c>
      <c r="E22" s="3" t="s">
        <v>313</v>
      </c>
      <c r="I22" s="7" t="s">
        <v>314</v>
      </c>
      <c r="J22" s="5"/>
      <c r="K22" s="5"/>
      <c r="N22" t="s">
        <v>315</v>
      </c>
      <c r="O22">
        <f t="shared" si="5"/>
        <v>153.6</v>
      </c>
      <c r="P22">
        <v>24</v>
      </c>
      <c r="Q22">
        <v>320</v>
      </c>
      <c r="R22">
        <v>20</v>
      </c>
      <c r="AK22" s="267" t="s">
        <v>316</v>
      </c>
      <c r="AL22" s="268">
        <v>2</v>
      </c>
      <c r="AM22" s="269">
        <v>45323</v>
      </c>
      <c r="AN22" s="277">
        <f t="shared" si="12"/>
        <v>2024</v>
      </c>
      <c r="AO22" s="270" t="s">
        <v>267</v>
      </c>
      <c r="AP22" s="279">
        <f t="shared" si="13"/>
        <v>29</v>
      </c>
      <c r="AQ22">
        <f>'Modelling New'!Q12</f>
        <v>0</v>
      </c>
      <c r="AR22" s="261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58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35">
      <c r="A23" s="7" t="s">
        <v>317</v>
      </c>
      <c r="B23" s="4">
        <v>153.6</v>
      </c>
      <c r="C23" s="141">
        <f t="shared" si="0"/>
        <v>6.3261943986820425E-3</v>
      </c>
      <c r="E23" s="3" t="s">
        <v>318</v>
      </c>
      <c r="N23" t="s">
        <v>319</v>
      </c>
      <c r="O23">
        <f t="shared" si="5"/>
        <v>153.6</v>
      </c>
      <c r="P23">
        <v>24</v>
      </c>
      <c r="Q23">
        <v>320</v>
      </c>
      <c r="R23">
        <v>20</v>
      </c>
      <c r="AK23" s="272" t="s">
        <v>320</v>
      </c>
      <c r="AL23" s="273">
        <v>3</v>
      </c>
      <c r="AM23" s="274">
        <v>45352</v>
      </c>
      <c r="AN23" s="276">
        <f t="shared" si="12"/>
        <v>2024</v>
      </c>
      <c r="AO23" s="276" t="s">
        <v>267</v>
      </c>
      <c r="AP23" s="278">
        <f t="shared" si="13"/>
        <v>31</v>
      </c>
      <c r="AQ23">
        <f>'Modelling New'!Q13</f>
        <v>0</v>
      </c>
      <c r="AR23" s="262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0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35">
      <c r="A24" s="7" t="s">
        <v>321</v>
      </c>
      <c r="B24" s="4">
        <v>153.6</v>
      </c>
      <c r="C24" s="141">
        <f t="shared" si="0"/>
        <v>6.3261943986820425E-3</v>
      </c>
      <c r="E24" s="3" t="s">
        <v>322</v>
      </c>
      <c r="N24" t="s">
        <v>323</v>
      </c>
      <c r="O24">
        <f t="shared" si="5"/>
        <v>153.6</v>
      </c>
      <c r="P24">
        <v>24</v>
      </c>
      <c r="Q24">
        <v>320</v>
      </c>
      <c r="R24">
        <v>20</v>
      </c>
      <c r="AK24" s="267" t="str">
        <f>AK12</f>
        <v>April</v>
      </c>
      <c r="AL24" s="267">
        <f>AL12</f>
        <v>4</v>
      </c>
      <c r="AM24" s="269">
        <v>45383</v>
      </c>
      <c r="AN24" s="277">
        <f>YEAR(AM24)</f>
        <v>2024</v>
      </c>
      <c r="AO24" s="270" t="s">
        <v>324</v>
      </c>
      <c r="AP24" s="279">
        <f>DAY(EOMONTH(AM24,0))</f>
        <v>30</v>
      </c>
      <c r="AQ24">
        <f>'Modelling New'!Q14</f>
        <v>0</v>
      </c>
      <c r="AR24" s="261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58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35">
      <c r="A25" s="7" t="s">
        <v>325</v>
      </c>
      <c r="B25" s="4">
        <v>153.6</v>
      </c>
      <c r="C25" s="141">
        <f t="shared" si="0"/>
        <v>6.3261943986820425E-3</v>
      </c>
      <c r="E25" s="3" t="s">
        <v>326</v>
      </c>
      <c r="N25" t="s">
        <v>327</v>
      </c>
      <c r="O25">
        <f t="shared" si="5"/>
        <v>153.6</v>
      </c>
      <c r="P25">
        <v>24</v>
      </c>
      <c r="Q25">
        <v>320</v>
      </c>
      <c r="R25">
        <v>20</v>
      </c>
      <c r="AK25" s="272" t="str">
        <f t="shared" ref="AK25:AL40" si="14">AK13</f>
        <v>May</v>
      </c>
      <c r="AL25" s="272">
        <f t="shared" si="14"/>
        <v>5</v>
      </c>
      <c r="AM25" s="274">
        <v>45413</v>
      </c>
      <c r="AN25" s="276">
        <f>YEAR(AM25)</f>
        <v>2024</v>
      </c>
      <c r="AO25" s="276" t="s">
        <v>324</v>
      </c>
      <c r="AP25" s="278">
        <f>DAY(EOMONTH(AM25,0))</f>
        <v>31</v>
      </c>
      <c r="AQ25">
        <f>'Modelling New'!Q15</f>
        <v>0</v>
      </c>
      <c r="AR25" s="262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0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35">
      <c r="A26" s="7" t="s">
        <v>328</v>
      </c>
      <c r="B26" s="4">
        <v>153.6</v>
      </c>
      <c r="C26" s="141">
        <f t="shared" si="0"/>
        <v>6.3261943986820425E-3</v>
      </c>
      <c r="E26" s="3" t="s">
        <v>329</v>
      </c>
      <c r="N26" t="s">
        <v>330</v>
      </c>
      <c r="O26">
        <f t="shared" si="5"/>
        <v>153.6</v>
      </c>
      <c r="P26">
        <v>24</v>
      </c>
      <c r="Q26">
        <v>320</v>
      </c>
      <c r="R26">
        <v>20</v>
      </c>
      <c r="AK26" s="267" t="str">
        <f t="shared" si="14"/>
        <v>June</v>
      </c>
      <c r="AL26" s="267">
        <f t="shared" si="14"/>
        <v>6</v>
      </c>
      <c r="AM26" s="269">
        <v>45444</v>
      </c>
      <c r="AN26" s="270">
        <f t="shared" ref="AN26:AN47" si="15">YEAR(AM26)</f>
        <v>2024</v>
      </c>
      <c r="AO26" s="270" t="s">
        <v>324</v>
      </c>
      <c r="AP26" s="271">
        <f t="shared" ref="AP26:AP47" si="16">DAY(EOMONTH(AM26,0))</f>
        <v>30</v>
      </c>
      <c r="AQ26">
        <f>'Modelling New'!Q16</f>
        <v>0</v>
      </c>
      <c r="AR26" s="261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58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35">
      <c r="A27" s="7" t="s">
        <v>331</v>
      </c>
      <c r="B27" s="4">
        <v>153.6</v>
      </c>
      <c r="C27" s="141">
        <f t="shared" si="0"/>
        <v>6.3261943986820425E-3</v>
      </c>
      <c r="E27" s="3" t="s">
        <v>332</v>
      </c>
      <c r="N27" t="s">
        <v>333</v>
      </c>
      <c r="O27">
        <f t="shared" si="5"/>
        <v>153.6</v>
      </c>
      <c r="P27">
        <v>24</v>
      </c>
      <c r="Q27">
        <v>320</v>
      </c>
      <c r="R27">
        <v>20</v>
      </c>
      <c r="AK27" s="272" t="str">
        <f t="shared" si="14"/>
        <v>July</v>
      </c>
      <c r="AL27" s="272">
        <f t="shared" si="14"/>
        <v>7</v>
      </c>
      <c r="AM27" s="274">
        <v>45474</v>
      </c>
      <c r="AN27" s="276">
        <f t="shared" si="15"/>
        <v>2024</v>
      </c>
      <c r="AO27" s="276" t="s">
        <v>324</v>
      </c>
      <c r="AP27" s="278">
        <f t="shared" si="16"/>
        <v>31</v>
      </c>
      <c r="AQ27">
        <f>'Modelling New'!Q17</f>
        <v>0</v>
      </c>
      <c r="AR27" s="262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0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35">
      <c r="A28" s="7" t="s">
        <v>334</v>
      </c>
      <c r="B28" s="4">
        <v>153.6</v>
      </c>
      <c r="C28" s="141">
        <f t="shared" si="0"/>
        <v>6.3261943986820425E-3</v>
      </c>
      <c r="N28" t="s">
        <v>335</v>
      </c>
      <c r="O28">
        <f t="shared" si="5"/>
        <v>153.6</v>
      </c>
      <c r="P28">
        <v>24</v>
      </c>
      <c r="Q28">
        <v>320</v>
      </c>
      <c r="R28">
        <v>20</v>
      </c>
      <c r="AK28" s="267" t="str">
        <f t="shared" si="14"/>
        <v>August</v>
      </c>
      <c r="AL28" s="267">
        <f t="shared" si="14"/>
        <v>8</v>
      </c>
      <c r="AM28" s="269">
        <v>45505</v>
      </c>
      <c r="AN28" s="270">
        <f t="shared" si="15"/>
        <v>2024</v>
      </c>
      <c r="AO28" s="270" t="s">
        <v>324</v>
      </c>
      <c r="AP28" s="271">
        <f t="shared" si="16"/>
        <v>31</v>
      </c>
      <c r="AQ28">
        <f>'Modelling New'!Q18</f>
        <v>0</v>
      </c>
      <c r="AR28" s="261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58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35">
      <c r="A29" s="7" t="s">
        <v>336</v>
      </c>
      <c r="B29" s="4">
        <v>153.6</v>
      </c>
      <c r="C29" s="141">
        <f t="shared" si="0"/>
        <v>6.3261943986820425E-3</v>
      </c>
      <c r="N29" t="s">
        <v>337</v>
      </c>
      <c r="O29">
        <f t="shared" si="5"/>
        <v>0</v>
      </c>
      <c r="P29">
        <v>0</v>
      </c>
      <c r="Q29">
        <v>320</v>
      </c>
      <c r="R29">
        <v>20</v>
      </c>
      <c r="AK29" s="272" t="str">
        <f t="shared" si="14"/>
        <v>September</v>
      </c>
      <c r="AL29" s="272">
        <f t="shared" si="14"/>
        <v>9</v>
      </c>
      <c r="AM29" s="274">
        <v>45536</v>
      </c>
      <c r="AN29" s="276">
        <f t="shared" si="15"/>
        <v>2024</v>
      </c>
      <c r="AO29" s="276" t="s">
        <v>324</v>
      </c>
      <c r="AP29" s="278">
        <f t="shared" si="16"/>
        <v>30</v>
      </c>
      <c r="AQ29">
        <f>'Modelling New'!Q19</f>
        <v>0</v>
      </c>
      <c r="AR29" s="262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0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35">
      <c r="A30" s="7" t="s">
        <v>338</v>
      </c>
      <c r="B30" s="4">
        <v>153.6</v>
      </c>
      <c r="C30" s="141">
        <f t="shared" si="0"/>
        <v>6.3261943986820425E-3</v>
      </c>
      <c r="N30" t="s">
        <v>339</v>
      </c>
      <c r="O30">
        <f t="shared" si="5"/>
        <v>156</v>
      </c>
      <c r="P30">
        <v>24</v>
      </c>
      <c r="Q30">
        <v>325</v>
      </c>
      <c r="R30">
        <v>20</v>
      </c>
      <c r="AK30" s="267" t="str">
        <f t="shared" si="14"/>
        <v>October</v>
      </c>
      <c r="AL30" s="267">
        <f t="shared" si="14"/>
        <v>10</v>
      </c>
      <c r="AM30" s="269">
        <v>45566</v>
      </c>
      <c r="AN30" s="270">
        <f t="shared" si="15"/>
        <v>2024</v>
      </c>
      <c r="AO30" s="270" t="s">
        <v>324</v>
      </c>
      <c r="AP30" s="271">
        <f t="shared" si="16"/>
        <v>31</v>
      </c>
      <c r="AQ30">
        <f>'Modelling New'!Q20</f>
        <v>0</v>
      </c>
      <c r="AR30" s="261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58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35">
      <c r="A31" s="7" t="s">
        <v>340</v>
      </c>
      <c r="B31" s="4">
        <v>153.6</v>
      </c>
      <c r="C31" s="141">
        <f t="shared" si="0"/>
        <v>6.3261943986820425E-3</v>
      </c>
      <c r="N31" t="s">
        <v>341</v>
      </c>
      <c r="O31">
        <f t="shared" si="5"/>
        <v>156</v>
      </c>
      <c r="P31">
        <v>24</v>
      </c>
      <c r="Q31">
        <v>325</v>
      </c>
      <c r="R31">
        <v>20</v>
      </c>
      <c r="AK31" s="272" t="str">
        <f t="shared" si="14"/>
        <v>November</v>
      </c>
      <c r="AL31" s="272">
        <f t="shared" si="14"/>
        <v>11</v>
      </c>
      <c r="AM31" s="274">
        <v>45597</v>
      </c>
      <c r="AN31" s="276">
        <f t="shared" si="15"/>
        <v>2024</v>
      </c>
      <c r="AO31" s="276" t="s">
        <v>324</v>
      </c>
      <c r="AP31" s="278">
        <f t="shared" si="16"/>
        <v>30</v>
      </c>
      <c r="AQ31">
        <f>'Modelling New'!Q21</f>
        <v>0</v>
      </c>
      <c r="AR31" s="262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0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35">
      <c r="A32" s="7" t="s">
        <v>342</v>
      </c>
      <c r="B32" s="4">
        <v>153.6</v>
      </c>
      <c r="C32" s="141">
        <f t="shared" si="0"/>
        <v>6.3261943986820425E-3</v>
      </c>
      <c r="N32" t="s">
        <v>343</v>
      </c>
      <c r="O32">
        <f t="shared" si="5"/>
        <v>156</v>
      </c>
      <c r="P32">
        <v>24</v>
      </c>
      <c r="Q32">
        <v>325</v>
      </c>
      <c r="R32">
        <v>20</v>
      </c>
      <c r="AK32" s="267" t="str">
        <f t="shared" si="14"/>
        <v>December</v>
      </c>
      <c r="AL32" s="267">
        <f t="shared" si="14"/>
        <v>12</v>
      </c>
      <c r="AM32" s="269">
        <v>45627</v>
      </c>
      <c r="AN32" s="270">
        <f t="shared" si="15"/>
        <v>2024</v>
      </c>
      <c r="AO32" s="270" t="s">
        <v>324</v>
      </c>
      <c r="AP32" s="271">
        <f t="shared" si="16"/>
        <v>31</v>
      </c>
      <c r="AQ32">
        <f>'Modelling New'!Q22</f>
        <v>0</v>
      </c>
      <c r="AR32" s="261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58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35">
      <c r="A33" s="7" t="s">
        <v>344</v>
      </c>
      <c r="B33" s="4">
        <v>153.6</v>
      </c>
      <c r="C33" s="141">
        <f t="shared" si="0"/>
        <v>6.3261943986820425E-3</v>
      </c>
      <c r="N33" t="s">
        <v>345</v>
      </c>
      <c r="O33">
        <f t="shared" si="5"/>
        <v>156</v>
      </c>
      <c r="P33">
        <v>24</v>
      </c>
      <c r="Q33">
        <v>325</v>
      </c>
      <c r="R33">
        <v>20</v>
      </c>
      <c r="AK33" s="272" t="str">
        <f t="shared" si="14"/>
        <v>January</v>
      </c>
      <c r="AL33" s="272">
        <f t="shared" si="14"/>
        <v>1</v>
      </c>
      <c r="AM33" s="274">
        <v>45658</v>
      </c>
      <c r="AN33" s="276">
        <f t="shared" si="15"/>
        <v>2025</v>
      </c>
      <c r="AO33" s="276" t="s">
        <v>324</v>
      </c>
      <c r="AP33" s="278">
        <f t="shared" si="16"/>
        <v>31</v>
      </c>
      <c r="AQ33">
        <f>'Modelling New'!Q23</f>
        <v>0</v>
      </c>
      <c r="AR33" s="262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0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35">
      <c r="A34" s="7" t="s">
        <v>346</v>
      </c>
      <c r="B34" s="4">
        <v>153.6</v>
      </c>
      <c r="C34" s="141">
        <f t="shared" si="0"/>
        <v>6.3261943986820425E-3</v>
      </c>
      <c r="N34" t="s">
        <v>347</v>
      </c>
      <c r="O34">
        <f t="shared" si="5"/>
        <v>156</v>
      </c>
      <c r="P34">
        <v>24</v>
      </c>
      <c r="Q34">
        <v>325</v>
      </c>
      <c r="R34">
        <v>20</v>
      </c>
      <c r="AK34" s="267" t="str">
        <f t="shared" si="14"/>
        <v>February</v>
      </c>
      <c r="AL34" s="267">
        <f t="shared" si="14"/>
        <v>2</v>
      </c>
      <c r="AM34" s="269">
        <v>45689</v>
      </c>
      <c r="AN34" s="270">
        <f t="shared" si="15"/>
        <v>2025</v>
      </c>
      <c r="AO34" s="270" t="s">
        <v>324</v>
      </c>
      <c r="AP34" s="271">
        <f t="shared" si="16"/>
        <v>28</v>
      </c>
      <c r="AQ34">
        <f>'Modelling New'!Q24</f>
        <v>0</v>
      </c>
      <c r="AR34" s="261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58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35">
      <c r="A35" s="7" t="s">
        <v>348</v>
      </c>
      <c r="B35" s="4">
        <v>0</v>
      </c>
      <c r="C35" s="141">
        <f t="shared" si="0"/>
        <v>0</v>
      </c>
      <c r="N35" t="s">
        <v>349</v>
      </c>
      <c r="O35">
        <f t="shared" si="5"/>
        <v>156</v>
      </c>
      <c r="P35">
        <v>24</v>
      </c>
      <c r="Q35">
        <v>325</v>
      </c>
      <c r="R35">
        <v>20</v>
      </c>
      <c r="AK35" s="272" t="str">
        <f t="shared" si="14"/>
        <v>March</v>
      </c>
      <c r="AL35" s="272">
        <f t="shared" si="14"/>
        <v>3</v>
      </c>
      <c r="AM35" s="274">
        <v>45717</v>
      </c>
      <c r="AN35" s="276">
        <f t="shared" si="15"/>
        <v>2025</v>
      </c>
      <c r="AO35" s="276" t="s">
        <v>324</v>
      </c>
      <c r="AP35" s="278">
        <f t="shared" si="16"/>
        <v>31</v>
      </c>
      <c r="AQ35">
        <f>'Modelling New'!Q25</f>
        <v>3</v>
      </c>
      <c r="AR35" s="263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4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35">
      <c r="A36" s="7" t="s">
        <v>350</v>
      </c>
      <c r="B36" s="4">
        <v>156</v>
      </c>
      <c r="C36" s="141">
        <f t="shared" si="0"/>
        <v>6.4250411861614494E-3</v>
      </c>
      <c r="N36" t="s">
        <v>351</v>
      </c>
      <c r="O36">
        <f t="shared" si="5"/>
        <v>149.5</v>
      </c>
      <c r="P36">
        <v>23</v>
      </c>
      <c r="Q36">
        <v>325</v>
      </c>
      <c r="R36">
        <v>20</v>
      </c>
      <c r="AK36" s="267" t="str">
        <f t="shared" si="14"/>
        <v>April</v>
      </c>
      <c r="AL36" s="267">
        <f t="shared" si="14"/>
        <v>4</v>
      </c>
      <c r="AM36" s="269">
        <v>45748</v>
      </c>
      <c r="AN36" s="270">
        <f t="shared" si="15"/>
        <v>2025</v>
      </c>
      <c r="AO36" s="270" t="s">
        <v>352</v>
      </c>
      <c r="AP36" s="271">
        <f t="shared" si="16"/>
        <v>30</v>
      </c>
      <c r="AQ36">
        <f>'Modelling New'!Q26</f>
        <v>30</v>
      </c>
      <c r="AR36" s="265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6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35">
      <c r="A37" s="7" t="s">
        <v>353</v>
      </c>
      <c r="B37" s="4">
        <v>156</v>
      </c>
      <c r="C37" s="141">
        <f t="shared" si="0"/>
        <v>6.4250411861614494E-3</v>
      </c>
      <c r="N37" t="s">
        <v>354</v>
      </c>
      <c r="O37">
        <f t="shared" si="5"/>
        <v>143</v>
      </c>
      <c r="P37">
        <v>22</v>
      </c>
      <c r="Q37">
        <v>325</v>
      </c>
      <c r="R37">
        <v>20</v>
      </c>
      <c r="AK37" s="272" t="str">
        <f t="shared" si="14"/>
        <v>May</v>
      </c>
      <c r="AL37" s="272">
        <f t="shared" si="14"/>
        <v>5</v>
      </c>
      <c r="AM37" s="274">
        <v>45778</v>
      </c>
      <c r="AN37" s="276">
        <f t="shared" si="15"/>
        <v>2025</v>
      </c>
      <c r="AO37" s="276" t="s">
        <v>352</v>
      </c>
      <c r="AP37" s="278">
        <f t="shared" si="16"/>
        <v>31</v>
      </c>
      <c r="AQ37">
        <f>'Modelling New'!Q27</f>
        <v>31</v>
      </c>
      <c r="AR37" s="263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4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35">
      <c r="A38" s="7" t="s">
        <v>355</v>
      </c>
      <c r="B38" s="4">
        <v>156</v>
      </c>
      <c r="C38" s="141">
        <f t="shared" si="0"/>
        <v>6.4250411861614494E-3</v>
      </c>
      <c r="N38" t="s">
        <v>356</v>
      </c>
      <c r="O38">
        <f t="shared" si="5"/>
        <v>156</v>
      </c>
      <c r="P38">
        <v>24</v>
      </c>
      <c r="Q38">
        <v>325</v>
      </c>
      <c r="R38">
        <v>20</v>
      </c>
      <c r="AK38" s="267" t="str">
        <f t="shared" si="14"/>
        <v>June</v>
      </c>
      <c r="AL38" s="267">
        <f t="shared" si="14"/>
        <v>6</v>
      </c>
      <c r="AM38" s="269">
        <v>45809</v>
      </c>
      <c r="AN38" s="270">
        <f t="shared" si="15"/>
        <v>2025</v>
      </c>
      <c r="AO38" s="270" t="s">
        <v>352</v>
      </c>
      <c r="AP38" s="271">
        <f t="shared" si="16"/>
        <v>30</v>
      </c>
      <c r="AQ38">
        <f>'Modelling New'!Q28</f>
        <v>30</v>
      </c>
      <c r="AR38" s="265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6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35">
      <c r="A39" s="7" t="s">
        <v>357</v>
      </c>
      <c r="B39" s="4">
        <v>156</v>
      </c>
      <c r="C39" s="141">
        <f t="shared" si="0"/>
        <v>6.4250411861614494E-3</v>
      </c>
      <c r="N39" t="s">
        <v>358</v>
      </c>
      <c r="O39">
        <f t="shared" si="5"/>
        <v>156</v>
      </c>
      <c r="P39">
        <v>24</v>
      </c>
      <c r="Q39">
        <v>325</v>
      </c>
      <c r="R39">
        <v>20</v>
      </c>
      <c r="AK39" s="272" t="str">
        <f t="shared" si="14"/>
        <v>July</v>
      </c>
      <c r="AL39" s="272">
        <f t="shared" si="14"/>
        <v>7</v>
      </c>
      <c r="AM39" s="274">
        <v>45839</v>
      </c>
      <c r="AN39" s="276">
        <f t="shared" si="15"/>
        <v>2025</v>
      </c>
      <c r="AO39" s="276" t="s">
        <v>352</v>
      </c>
      <c r="AP39" s="278">
        <f t="shared" si="16"/>
        <v>31</v>
      </c>
      <c r="AQ39">
        <f>'Modelling New'!Q29</f>
        <v>31</v>
      </c>
      <c r="AR39" s="263">
        <v>1116.3480657720338</v>
      </c>
      <c r="AS39" s="185">
        <f t="shared" si="8"/>
        <v>36.011227928130126</v>
      </c>
      <c r="AT39">
        <f t="shared" si="10"/>
        <v>1116.3480657720338</v>
      </c>
      <c r="AU39" s="185">
        <f>SUMIF($AO$12:$AO39,$AO39,$AT$12:AT39)</f>
        <v>5424.9576222719279</v>
      </c>
      <c r="AV39" s="264">
        <v>1285.4315977228412</v>
      </c>
      <c r="AW39" s="185">
        <f t="shared" si="9"/>
        <v>41.465535410414233</v>
      </c>
      <c r="AX39" s="185">
        <f t="shared" si="11"/>
        <v>1285.4315977228412</v>
      </c>
      <c r="AY39" s="185">
        <f>SUMIF($AO$12:$AO39,$AO39,$AX$12:AX39)</f>
        <v>7041.6482025908936</v>
      </c>
    </row>
    <row r="40" spans="1:51" x14ac:dyDescent="0.35">
      <c r="A40" s="7" t="s">
        <v>359</v>
      </c>
      <c r="B40" s="4">
        <v>156</v>
      </c>
      <c r="C40" s="141">
        <f t="shared" si="0"/>
        <v>6.4250411861614494E-3</v>
      </c>
      <c r="N40" t="s">
        <v>360</v>
      </c>
      <c r="O40">
        <f t="shared" si="5"/>
        <v>156</v>
      </c>
      <c r="P40">
        <v>24</v>
      </c>
      <c r="Q40">
        <v>325</v>
      </c>
      <c r="R40">
        <v>20</v>
      </c>
      <c r="AK40" s="267" t="str">
        <f t="shared" si="14"/>
        <v>August</v>
      </c>
      <c r="AL40" s="267">
        <f t="shared" si="14"/>
        <v>8</v>
      </c>
      <c r="AM40" s="269">
        <v>45870</v>
      </c>
      <c r="AN40" s="270">
        <f t="shared" si="15"/>
        <v>2025</v>
      </c>
      <c r="AO40" s="270" t="s">
        <v>352</v>
      </c>
      <c r="AP40" s="271">
        <f t="shared" si="16"/>
        <v>31</v>
      </c>
      <c r="AQ40">
        <f>'Modelling New'!Q30</f>
        <v>4</v>
      </c>
      <c r="AR40" s="265">
        <v>1054.8036088535146</v>
      </c>
      <c r="AS40" s="185">
        <f t="shared" si="8"/>
        <v>34.025922866242404</v>
      </c>
      <c r="AT40">
        <f t="shared" si="10"/>
        <v>136.10369146496961</v>
      </c>
      <c r="AU40" s="185">
        <f>SUMIF($AO$12:$AO40,$AO40,$AT$12:AT40)</f>
        <v>5561.0613137368973</v>
      </c>
      <c r="AV40" s="266">
        <v>1365.2799999958136</v>
      </c>
      <c r="AW40" s="185">
        <f t="shared" si="9"/>
        <v>44.041290322445597</v>
      </c>
      <c r="AX40" s="185">
        <f t="shared" si="11"/>
        <v>176.16516128978239</v>
      </c>
      <c r="AY40" s="185">
        <f>SUMIF($AO$12:$AO40,$AO40,$AX$12:AX40)</f>
        <v>7217.8133638806758</v>
      </c>
    </row>
    <row r="41" spans="1:51" x14ac:dyDescent="0.35">
      <c r="A41" s="7" t="s">
        <v>361</v>
      </c>
      <c r="B41" s="4">
        <v>156</v>
      </c>
      <c r="C41" s="141">
        <f t="shared" si="0"/>
        <v>6.4250411861614494E-3</v>
      </c>
      <c r="N41" t="s">
        <v>362</v>
      </c>
      <c r="O41">
        <f t="shared" si="5"/>
        <v>156</v>
      </c>
      <c r="P41">
        <v>24</v>
      </c>
      <c r="Q41">
        <v>325</v>
      </c>
      <c r="R41">
        <v>20</v>
      </c>
      <c r="AK41" s="272" t="str">
        <f t="shared" ref="AK41:AL47" si="17">AK29</f>
        <v>September</v>
      </c>
      <c r="AL41" s="272">
        <f t="shared" si="17"/>
        <v>9</v>
      </c>
      <c r="AM41" s="274">
        <v>45901</v>
      </c>
      <c r="AN41" s="276">
        <f t="shared" si="15"/>
        <v>2025</v>
      </c>
      <c r="AO41" s="276" t="s">
        <v>352</v>
      </c>
      <c r="AP41" s="278">
        <f t="shared" si="16"/>
        <v>30</v>
      </c>
      <c r="AQ41">
        <f>'Modelling New'!Q31</f>
        <v>0</v>
      </c>
      <c r="AR41" s="263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5561.0613137368973</v>
      </c>
      <c r="AV41" s="264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7217.8133638806758</v>
      </c>
    </row>
    <row r="42" spans="1:51" x14ac:dyDescent="0.35">
      <c r="A42" s="7" t="s">
        <v>363</v>
      </c>
      <c r="B42" s="4">
        <v>149.5</v>
      </c>
      <c r="C42" s="141">
        <f t="shared" si="0"/>
        <v>6.157331136738056E-3</v>
      </c>
      <c r="N42" t="s">
        <v>364</v>
      </c>
      <c r="O42">
        <f t="shared" si="5"/>
        <v>156</v>
      </c>
      <c r="P42">
        <v>24</v>
      </c>
      <c r="Q42">
        <v>325</v>
      </c>
      <c r="R42">
        <v>20</v>
      </c>
      <c r="AK42" s="267" t="str">
        <f t="shared" si="17"/>
        <v>October</v>
      </c>
      <c r="AL42" s="267">
        <f t="shared" si="17"/>
        <v>10</v>
      </c>
      <c r="AM42" s="269">
        <v>45931</v>
      </c>
      <c r="AN42" s="270">
        <f t="shared" si="15"/>
        <v>2025</v>
      </c>
      <c r="AO42" s="270" t="s">
        <v>352</v>
      </c>
      <c r="AP42" s="271">
        <f t="shared" si="16"/>
        <v>31</v>
      </c>
      <c r="AQ42">
        <f>'Modelling New'!Q32</f>
        <v>0</v>
      </c>
      <c r="AR42" s="265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5561.0613137368973</v>
      </c>
      <c r="AV42" s="266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7217.8133638806758</v>
      </c>
    </row>
    <row r="43" spans="1:51" x14ac:dyDescent="0.35">
      <c r="A43" s="7" t="s">
        <v>365</v>
      </c>
      <c r="B43" s="4">
        <v>143</v>
      </c>
      <c r="C43" s="141">
        <f t="shared" si="0"/>
        <v>5.8896210873146618E-3</v>
      </c>
      <c r="N43" t="s">
        <v>366</v>
      </c>
      <c r="O43">
        <f t="shared" si="5"/>
        <v>156</v>
      </c>
      <c r="P43">
        <v>24</v>
      </c>
      <c r="Q43">
        <v>325</v>
      </c>
      <c r="R43">
        <v>20</v>
      </c>
      <c r="AK43" s="272" t="str">
        <f t="shared" si="17"/>
        <v>November</v>
      </c>
      <c r="AL43" s="272">
        <f t="shared" si="17"/>
        <v>11</v>
      </c>
      <c r="AM43" s="274">
        <v>45962</v>
      </c>
      <c r="AN43" s="276">
        <f t="shared" si="15"/>
        <v>2025</v>
      </c>
      <c r="AO43" s="276" t="s">
        <v>352</v>
      </c>
      <c r="AP43" s="278">
        <f t="shared" si="16"/>
        <v>30</v>
      </c>
      <c r="AQ43">
        <f>'Modelling New'!Q33</f>
        <v>0</v>
      </c>
      <c r="AR43" s="263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5561.0613137368973</v>
      </c>
      <c r="AV43" s="264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7217.8133638806758</v>
      </c>
    </row>
    <row r="44" spans="1:51" x14ac:dyDescent="0.35">
      <c r="A44" s="7" t="s">
        <v>367</v>
      </c>
      <c r="B44" s="4">
        <v>156</v>
      </c>
      <c r="C44" s="141">
        <f t="shared" si="0"/>
        <v>6.4250411861614494E-3</v>
      </c>
      <c r="N44" t="s">
        <v>368</v>
      </c>
      <c r="O44">
        <f t="shared" si="5"/>
        <v>156</v>
      </c>
      <c r="P44">
        <v>24</v>
      </c>
      <c r="Q44">
        <v>325</v>
      </c>
      <c r="R44">
        <v>20</v>
      </c>
      <c r="AK44" s="267" t="str">
        <f t="shared" si="17"/>
        <v>December</v>
      </c>
      <c r="AL44" s="267">
        <f t="shared" si="17"/>
        <v>12</v>
      </c>
      <c r="AM44" s="269">
        <v>45992</v>
      </c>
      <c r="AN44" s="270">
        <f t="shared" si="15"/>
        <v>2025</v>
      </c>
      <c r="AO44" s="270" t="s">
        <v>352</v>
      </c>
      <c r="AP44" s="271">
        <f t="shared" si="16"/>
        <v>31</v>
      </c>
      <c r="AQ44">
        <f>'Modelling New'!Q34</f>
        <v>0</v>
      </c>
      <c r="AR44" s="265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5561.0613137368973</v>
      </c>
      <c r="AV44" s="266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7217.8133638806758</v>
      </c>
    </row>
    <row r="45" spans="1:51" x14ac:dyDescent="0.35">
      <c r="A45" s="7" t="s">
        <v>369</v>
      </c>
      <c r="B45" s="4">
        <v>156</v>
      </c>
      <c r="C45" s="141">
        <f t="shared" si="0"/>
        <v>6.4250411861614494E-3</v>
      </c>
      <c r="N45" t="s">
        <v>370</v>
      </c>
      <c r="O45">
        <f t="shared" si="5"/>
        <v>0</v>
      </c>
      <c r="P45">
        <v>0</v>
      </c>
      <c r="Q45">
        <v>325</v>
      </c>
      <c r="R45">
        <v>20</v>
      </c>
      <c r="AK45" s="272" t="str">
        <f t="shared" si="17"/>
        <v>January</v>
      </c>
      <c r="AL45" s="272">
        <f t="shared" si="17"/>
        <v>1</v>
      </c>
      <c r="AM45" s="274">
        <v>46023</v>
      </c>
      <c r="AN45" s="276">
        <f t="shared" si="15"/>
        <v>2026</v>
      </c>
      <c r="AO45" s="276" t="s">
        <v>352</v>
      </c>
      <c r="AP45" s="278">
        <f t="shared" si="16"/>
        <v>31</v>
      </c>
      <c r="AQ45">
        <f>'Modelling New'!Q35</f>
        <v>0</v>
      </c>
      <c r="AR45" s="263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5561.0613137368973</v>
      </c>
      <c r="AV45" s="264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7217.8133638806758</v>
      </c>
    </row>
    <row r="46" spans="1:51" x14ac:dyDescent="0.35">
      <c r="A46" s="7" t="s">
        <v>371</v>
      </c>
      <c r="B46" s="4">
        <v>156</v>
      </c>
      <c r="C46" s="141">
        <f t="shared" si="0"/>
        <v>6.4250411861614494E-3</v>
      </c>
      <c r="N46" t="s">
        <v>372</v>
      </c>
      <c r="O46">
        <f t="shared" si="5"/>
        <v>156</v>
      </c>
      <c r="P46">
        <v>24</v>
      </c>
      <c r="Q46">
        <v>325</v>
      </c>
      <c r="R46">
        <v>20</v>
      </c>
      <c r="AK46" s="267" t="str">
        <f t="shared" si="17"/>
        <v>February</v>
      </c>
      <c r="AL46" s="267">
        <f t="shared" si="17"/>
        <v>2</v>
      </c>
      <c r="AM46" s="269">
        <v>46054</v>
      </c>
      <c r="AN46" s="270">
        <f t="shared" si="15"/>
        <v>2026</v>
      </c>
      <c r="AO46" s="270" t="s">
        <v>352</v>
      </c>
      <c r="AP46" s="271">
        <f t="shared" si="16"/>
        <v>28</v>
      </c>
      <c r="AQ46">
        <f>'Modelling New'!Q36</f>
        <v>0</v>
      </c>
      <c r="AR46" s="265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5561.0613137368973</v>
      </c>
      <c r="AV46" s="266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7217.8133638806758</v>
      </c>
    </row>
    <row r="47" spans="1:51" x14ac:dyDescent="0.35">
      <c r="A47" s="7" t="s">
        <v>373</v>
      </c>
      <c r="B47" s="4">
        <v>156</v>
      </c>
      <c r="C47" s="141">
        <f t="shared" si="0"/>
        <v>6.4250411861614494E-3</v>
      </c>
      <c r="N47" t="s">
        <v>374</v>
      </c>
      <c r="O47">
        <f t="shared" si="5"/>
        <v>156</v>
      </c>
      <c r="P47">
        <v>24</v>
      </c>
      <c r="Q47">
        <v>325</v>
      </c>
      <c r="R47">
        <v>20</v>
      </c>
      <c r="AK47" s="272" t="str">
        <f t="shared" si="17"/>
        <v>March</v>
      </c>
      <c r="AL47" s="272">
        <f t="shared" si="17"/>
        <v>3</v>
      </c>
      <c r="AM47" s="280">
        <v>46082</v>
      </c>
      <c r="AN47" s="275">
        <f t="shared" si="15"/>
        <v>2026</v>
      </c>
      <c r="AO47" s="275" t="s">
        <v>352</v>
      </c>
      <c r="AP47" s="249">
        <f t="shared" si="16"/>
        <v>31</v>
      </c>
      <c r="AQ47">
        <f>'Modelling New'!Q37</f>
        <v>0</v>
      </c>
      <c r="AR47" s="263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5561.0613137368973</v>
      </c>
      <c r="AV47" s="264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7217.8133638806758</v>
      </c>
    </row>
    <row r="48" spans="1:51" x14ac:dyDescent="0.35">
      <c r="A48" s="7" t="s">
        <v>375</v>
      </c>
      <c r="B48" s="4">
        <v>156</v>
      </c>
      <c r="C48" s="141">
        <f t="shared" si="0"/>
        <v>6.4250411861614494E-3</v>
      </c>
      <c r="N48" t="s">
        <v>376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35">
      <c r="A49" s="7" t="s">
        <v>377</v>
      </c>
      <c r="B49" s="4">
        <v>156</v>
      </c>
      <c r="C49" s="141">
        <f t="shared" si="0"/>
        <v>6.4250411861614494E-3</v>
      </c>
      <c r="N49" t="s">
        <v>378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35">
      <c r="A50" s="7" t="s">
        <v>379</v>
      </c>
      <c r="B50" s="4">
        <v>156</v>
      </c>
      <c r="C50" s="141">
        <f t="shared" si="0"/>
        <v>6.4250411861614494E-3</v>
      </c>
      <c r="N50" t="s">
        <v>380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35">
      <c r="A51" s="7" t="s">
        <v>381</v>
      </c>
      <c r="B51" s="4">
        <v>0</v>
      </c>
      <c r="C51" s="141">
        <f t="shared" si="0"/>
        <v>0</v>
      </c>
      <c r="N51" t="s">
        <v>382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35">
      <c r="A52" s="7" t="s">
        <v>383</v>
      </c>
      <c r="B52" s="4">
        <v>156</v>
      </c>
      <c r="C52" s="141">
        <f t="shared" si="0"/>
        <v>6.4250411861614494E-3</v>
      </c>
      <c r="N52" t="s">
        <v>384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35">
      <c r="A53" s="7" t="s">
        <v>385</v>
      </c>
      <c r="B53" s="4">
        <v>156</v>
      </c>
      <c r="C53" s="141">
        <f t="shared" si="0"/>
        <v>6.4250411861614494E-3</v>
      </c>
      <c r="N53" t="s">
        <v>386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35">
      <c r="A54" s="7" t="s">
        <v>387</v>
      </c>
      <c r="B54" s="4">
        <v>149.5</v>
      </c>
      <c r="C54" s="141">
        <f t="shared" si="0"/>
        <v>6.157331136738056E-3</v>
      </c>
      <c r="N54" t="s">
        <v>388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35">
      <c r="A55" s="7" t="s">
        <v>389</v>
      </c>
      <c r="B55" s="4">
        <v>149.5</v>
      </c>
      <c r="C55" s="141">
        <f t="shared" si="0"/>
        <v>6.157331136738056E-3</v>
      </c>
      <c r="N55" t="s">
        <v>390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35">
      <c r="A56" s="7" t="s">
        <v>391</v>
      </c>
      <c r="B56" s="4">
        <v>149.5</v>
      </c>
      <c r="C56" s="141">
        <f t="shared" si="0"/>
        <v>6.157331136738056E-3</v>
      </c>
      <c r="N56" t="s">
        <v>392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35">
      <c r="A57" s="7" t="s">
        <v>393</v>
      </c>
      <c r="B57" s="4">
        <v>149.5</v>
      </c>
      <c r="C57" s="141">
        <f t="shared" si="0"/>
        <v>6.157331136738056E-3</v>
      </c>
      <c r="N57" t="s">
        <v>394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35">
      <c r="A58" s="7" t="s">
        <v>395</v>
      </c>
      <c r="B58" s="4">
        <v>149.5</v>
      </c>
      <c r="C58" s="141">
        <f t="shared" si="0"/>
        <v>6.157331136738056E-3</v>
      </c>
      <c r="N58" t="s">
        <v>396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35">
      <c r="A59" s="7" t="s">
        <v>397</v>
      </c>
      <c r="B59" s="4">
        <v>149.5</v>
      </c>
      <c r="C59" s="141">
        <f t="shared" si="0"/>
        <v>6.157331136738056E-3</v>
      </c>
      <c r="N59" t="s">
        <v>398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35">
      <c r="A60" s="7" t="s">
        <v>399</v>
      </c>
      <c r="B60" s="4">
        <v>156</v>
      </c>
      <c r="C60" s="141">
        <f t="shared" si="0"/>
        <v>6.4250411861614494E-3</v>
      </c>
      <c r="N60" t="s">
        <v>400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35">
      <c r="A61" s="7" t="s">
        <v>401</v>
      </c>
      <c r="B61" s="4">
        <v>156</v>
      </c>
      <c r="C61" s="141">
        <f t="shared" si="0"/>
        <v>6.4250411861614494E-3</v>
      </c>
      <c r="N61" t="s">
        <v>402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35">
      <c r="A62" s="7" t="s">
        <v>403</v>
      </c>
      <c r="B62" s="4">
        <v>156</v>
      </c>
      <c r="C62" s="141">
        <f t="shared" si="0"/>
        <v>6.4250411861614494E-3</v>
      </c>
      <c r="N62" t="s">
        <v>404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35">
      <c r="A63" s="7" t="s">
        <v>405</v>
      </c>
      <c r="B63" s="4">
        <v>156</v>
      </c>
      <c r="C63" s="141">
        <f t="shared" si="0"/>
        <v>6.4250411861614494E-3</v>
      </c>
      <c r="N63" t="s">
        <v>406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35">
      <c r="A64" s="7" t="s">
        <v>407</v>
      </c>
      <c r="B64" s="4">
        <v>149.5</v>
      </c>
      <c r="C64" s="141">
        <f t="shared" si="0"/>
        <v>6.157331136738056E-3</v>
      </c>
      <c r="N64" t="s">
        <v>408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35">
      <c r="A65" s="7" t="s">
        <v>409</v>
      </c>
      <c r="B65" s="4">
        <v>149.5</v>
      </c>
      <c r="C65" s="141">
        <f t="shared" si="0"/>
        <v>6.157331136738056E-3</v>
      </c>
      <c r="N65" t="s">
        <v>410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35">
      <c r="A66" s="7" t="s">
        <v>411</v>
      </c>
      <c r="B66" s="4">
        <v>149.5</v>
      </c>
      <c r="C66" s="141">
        <f t="shared" si="0"/>
        <v>6.157331136738056E-3</v>
      </c>
      <c r="N66" t="s">
        <v>412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35">
      <c r="A67" s="7" t="s">
        <v>413</v>
      </c>
      <c r="B67" s="4">
        <v>149.5</v>
      </c>
      <c r="C67" s="141">
        <f t="shared" ref="C67:C110" si="18">IFERROR(B67/$V$5,"")</f>
        <v>6.157331136738056E-3</v>
      </c>
      <c r="N67" t="s">
        <v>414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35">
      <c r="A68" s="7" t="s">
        <v>415</v>
      </c>
      <c r="B68" s="4">
        <v>153.6</v>
      </c>
      <c r="C68" s="141">
        <f t="shared" si="18"/>
        <v>6.3261943986820425E-3</v>
      </c>
      <c r="N68" t="s">
        <v>416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35">
      <c r="A69" s="7" t="s">
        <v>417</v>
      </c>
      <c r="B69" s="4">
        <v>153.6</v>
      </c>
      <c r="C69" s="141">
        <f t="shared" si="18"/>
        <v>6.3261943986820425E-3</v>
      </c>
      <c r="N69" t="s">
        <v>418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35">
      <c r="A70" s="7" t="s">
        <v>419</v>
      </c>
      <c r="B70" s="4">
        <v>153.6</v>
      </c>
      <c r="C70" s="141">
        <f t="shared" si="18"/>
        <v>6.3261943986820425E-3</v>
      </c>
      <c r="N70" t="s">
        <v>420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35">
      <c r="A71" s="7" t="s">
        <v>421</v>
      </c>
      <c r="B71" s="4">
        <v>153.6</v>
      </c>
      <c r="C71" s="141">
        <f t="shared" si="18"/>
        <v>6.3261943986820425E-3</v>
      </c>
      <c r="N71" t="s">
        <v>422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35">
      <c r="A72" s="7" t="s">
        <v>423</v>
      </c>
      <c r="B72" s="4">
        <v>153.6</v>
      </c>
      <c r="C72" s="141">
        <f t="shared" si="18"/>
        <v>6.3261943986820425E-3</v>
      </c>
      <c r="N72" t="s">
        <v>424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35">
      <c r="A73" s="7" t="s">
        <v>425</v>
      </c>
      <c r="B73" s="4">
        <v>153.6</v>
      </c>
      <c r="C73" s="141">
        <f t="shared" si="18"/>
        <v>6.3261943986820425E-3</v>
      </c>
      <c r="N73" t="s">
        <v>426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35">
      <c r="A74" s="7" t="s">
        <v>427</v>
      </c>
      <c r="B74" s="4">
        <v>153.6</v>
      </c>
      <c r="C74" s="141">
        <f t="shared" si="18"/>
        <v>6.3261943986820425E-3</v>
      </c>
      <c r="N74" t="s">
        <v>428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35">
      <c r="A75" s="7" t="s">
        <v>429</v>
      </c>
      <c r="B75" s="4">
        <v>0</v>
      </c>
      <c r="C75" s="141">
        <f t="shared" si="18"/>
        <v>0</v>
      </c>
      <c r="N75" t="s">
        <v>430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35">
      <c r="A76" s="7" t="s">
        <v>431</v>
      </c>
      <c r="B76" s="4">
        <v>156</v>
      </c>
      <c r="C76" s="141">
        <f t="shared" si="18"/>
        <v>6.4250411861614494E-3</v>
      </c>
      <c r="N76" t="s">
        <v>432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35">
      <c r="A77" s="7" t="s">
        <v>433</v>
      </c>
      <c r="B77" s="4">
        <v>156</v>
      </c>
      <c r="C77" s="141">
        <f t="shared" si="18"/>
        <v>6.4250411861614494E-3</v>
      </c>
      <c r="N77" t="s">
        <v>434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35">
      <c r="A78" s="7" t="s">
        <v>435</v>
      </c>
      <c r="B78" s="4">
        <v>156</v>
      </c>
      <c r="C78" s="141">
        <f t="shared" si="18"/>
        <v>6.4250411861614494E-3</v>
      </c>
      <c r="N78" t="s">
        <v>436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35">
      <c r="A79" s="7" t="s">
        <v>437</v>
      </c>
      <c r="B79" s="4">
        <v>156</v>
      </c>
      <c r="C79" s="141">
        <f t="shared" si="18"/>
        <v>6.4250411861614494E-3</v>
      </c>
      <c r="N79" t="s">
        <v>438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35">
      <c r="A80" s="7" t="s">
        <v>439</v>
      </c>
      <c r="B80" s="4">
        <v>149.5</v>
      </c>
      <c r="C80" s="141">
        <f t="shared" si="18"/>
        <v>6.157331136738056E-3</v>
      </c>
      <c r="N80" t="s">
        <v>440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35">
      <c r="A81" s="7" t="s">
        <v>441</v>
      </c>
      <c r="B81" s="4">
        <v>149.5</v>
      </c>
      <c r="C81" s="141">
        <f t="shared" si="18"/>
        <v>6.157331136738056E-3</v>
      </c>
      <c r="N81" t="s">
        <v>442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35">
      <c r="A82" s="7" t="s">
        <v>443</v>
      </c>
      <c r="B82" s="4">
        <v>149.5</v>
      </c>
      <c r="C82" s="141">
        <f t="shared" si="18"/>
        <v>6.157331136738056E-3</v>
      </c>
      <c r="N82" t="s">
        <v>444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35">
      <c r="A83" s="7" t="s">
        <v>445</v>
      </c>
      <c r="B83" s="4">
        <v>149.5</v>
      </c>
      <c r="C83" s="141">
        <f t="shared" si="18"/>
        <v>6.157331136738056E-3</v>
      </c>
      <c r="N83" t="s">
        <v>446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35">
      <c r="A84" s="7" t="s">
        <v>447</v>
      </c>
      <c r="B84" s="4">
        <v>153.6</v>
      </c>
      <c r="C84" s="141">
        <f t="shared" si="18"/>
        <v>6.3261943986820425E-3</v>
      </c>
      <c r="N84" t="s">
        <v>448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35">
      <c r="A85" s="7" t="s">
        <v>449</v>
      </c>
      <c r="B85" s="4">
        <v>153.6</v>
      </c>
      <c r="C85" s="141">
        <f t="shared" si="18"/>
        <v>6.3261943986820425E-3</v>
      </c>
      <c r="N85" t="s">
        <v>450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35">
      <c r="A86" s="7" t="s">
        <v>451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35">
      <c r="A87" s="7" t="s">
        <v>452</v>
      </c>
      <c r="B87" s="4">
        <v>153.6</v>
      </c>
      <c r="C87" s="141">
        <f t="shared" si="18"/>
        <v>6.3261943986820425E-3</v>
      </c>
    </row>
    <row r="88" spans="1:18" x14ac:dyDescent="0.35">
      <c r="A88" s="7" t="s">
        <v>453</v>
      </c>
      <c r="B88" s="4">
        <v>153.6</v>
      </c>
      <c r="C88" s="141">
        <f t="shared" si="18"/>
        <v>6.3261943986820425E-3</v>
      </c>
    </row>
    <row r="89" spans="1:18" x14ac:dyDescent="0.35">
      <c r="A89" s="7" t="s">
        <v>454</v>
      </c>
      <c r="B89" s="4">
        <v>153.6</v>
      </c>
      <c r="C89" s="141">
        <f t="shared" si="18"/>
        <v>6.3261943986820425E-3</v>
      </c>
    </row>
    <row r="90" spans="1:18" x14ac:dyDescent="0.35">
      <c r="A90" s="7" t="s">
        <v>455</v>
      </c>
      <c r="B90" s="4">
        <v>153.6</v>
      </c>
      <c r="C90" s="141">
        <f t="shared" si="18"/>
        <v>6.3261943986820425E-3</v>
      </c>
    </row>
    <row r="91" spans="1:18" x14ac:dyDescent="0.35">
      <c r="A91" s="7" t="s">
        <v>456</v>
      </c>
      <c r="B91" s="4">
        <v>0</v>
      </c>
      <c r="C91" s="141">
        <f t="shared" si="18"/>
        <v>0</v>
      </c>
    </row>
    <row r="92" spans="1:18" x14ac:dyDescent="0.35">
      <c r="A92" s="7" t="s">
        <v>457</v>
      </c>
      <c r="B92" s="4">
        <v>2300</v>
      </c>
      <c r="C92" s="141">
        <f t="shared" si="18"/>
        <v>9.4728171334431635E-2</v>
      </c>
    </row>
    <row r="93" spans="1:18" x14ac:dyDescent="0.35">
      <c r="A93" s="7" t="s">
        <v>458</v>
      </c>
      <c r="B93" s="4">
        <v>2300</v>
      </c>
      <c r="C93" s="141">
        <f t="shared" si="18"/>
        <v>9.4728171334431635E-2</v>
      </c>
    </row>
    <row r="94" spans="1:18" x14ac:dyDescent="0.35">
      <c r="A94" s="7" t="s">
        <v>459</v>
      </c>
      <c r="B94" s="4">
        <v>2300</v>
      </c>
      <c r="C94" s="141">
        <f t="shared" si="18"/>
        <v>9.4728171334431635E-2</v>
      </c>
    </row>
    <row r="95" spans="1:18" x14ac:dyDescent="0.35">
      <c r="A95" s="7" t="s">
        <v>460</v>
      </c>
      <c r="B95" s="4">
        <v>2300</v>
      </c>
      <c r="C95" s="141">
        <f t="shared" si="18"/>
        <v>9.4728171334431635E-2</v>
      </c>
    </row>
    <row r="96" spans="1:18" x14ac:dyDescent="0.35">
      <c r="A96" s="7" t="s">
        <v>461</v>
      </c>
      <c r="B96" s="4">
        <v>2300</v>
      </c>
      <c r="C96" s="141">
        <f t="shared" si="18"/>
        <v>9.4728171334431635E-2</v>
      </c>
    </row>
    <row r="97" spans="1:3" x14ac:dyDescent="0.35">
      <c r="A97" s="7" t="s">
        <v>462</v>
      </c>
      <c r="B97" s="4">
        <v>2300</v>
      </c>
      <c r="C97" s="141">
        <f t="shared" si="18"/>
        <v>9.4728171334431635E-2</v>
      </c>
    </row>
    <row r="98" spans="1:3" x14ac:dyDescent="0.35">
      <c r="A98" s="7" t="s">
        <v>463</v>
      </c>
      <c r="B98" s="4">
        <v>2300</v>
      </c>
      <c r="C98" s="141">
        <f t="shared" si="18"/>
        <v>9.4728171334431635E-2</v>
      </c>
    </row>
    <row r="99" spans="1:3" x14ac:dyDescent="0.35">
      <c r="A99" s="7" t="s">
        <v>464</v>
      </c>
      <c r="B99" s="4">
        <v>2300</v>
      </c>
      <c r="C99" s="141">
        <f t="shared" si="18"/>
        <v>9.4728171334431635E-2</v>
      </c>
    </row>
    <row r="100" spans="1:3" x14ac:dyDescent="0.35">
      <c r="A100" s="7" t="s">
        <v>465</v>
      </c>
      <c r="B100" s="4">
        <v>2300</v>
      </c>
      <c r="C100" s="141">
        <f t="shared" si="18"/>
        <v>9.4728171334431635E-2</v>
      </c>
    </row>
    <row r="101" spans="1:3" x14ac:dyDescent="0.35">
      <c r="A101" s="7" t="s">
        <v>466</v>
      </c>
      <c r="B101" s="4">
        <v>2300</v>
      </c>
      <c r="C101" s="141">
        <f t="shared" si="18"/>
        <v>9.4728171334431635E-2</v>
      </c>
    </row>
    <row r="102" spans="1:3" x14ac:dyDescent="0.35">
      <c r="A102" s="7" t="s">
        <v>467</v>
      </c>
      <c r="B102" s="4">
        <v>2300</v>
      </c>
      <c r="C102" s="141">
        <f t="shared" si="18"/>
        <v>9.4728171334431635E-2</v>
      </c>
    </row>
    <row r="103" spans="1:3" x14ac:dyDescent="0.35">
      <c r="A103" s="7" t="s">
        <v>468</v>
      </c>
      <c r="B103" s="4">
        <v>2300</v>
      </c>
      <c r="C103" s="141">
        <f t="shared" si="18"/>
        <v>9.4728171334431635E-2</v>
      </c>
    </row>
    <row r="104" spans="1:3" x14ac:dyDescent="0.35">
      <c r="A104" s="7" t="s">
        <v>469</v>
      </c>
      <c r="B104" s="4">
        <v>2300</v>
      </c>
      <c r="C104" s="141">
        <f t="shared" si="18"/>
        <v>9.4728171334431635E-2</v>
      </c>
    </row>
    <row r="105" spans="1:3" x14ac:dyDescent="0.35">
      <c r="A105" s="7" t="s">
        <v>470</v>
      </c>
      <c r="B105" s="4">
        <v>2300</v>
      </c>
      <c r="C105" s="141">
        <f t="shared" si="18"/>
        <v>9.4728171334431635E-2</v>
      </c>
    </row>
    <row r="106" spans="1:3" x14ac:dyDescent="0.35">
      <c r="A106" s="7" t="s">
        <v>471</v>
      </c>
      <c r="B106" s="4">
        <v>2300</v>
      </c>
      <c r="C106" s="141">
        <f t="shared" si="18"/>
        <v>9.4728171334431635E-2</v>
      </c>
    </row>
    <row r="108" spans="1:3" x14ac:dyDescent="0.35">
      <c r="A108" s="7" t="s">
        <v>472</v>
      </c>
      <c r="B108" s="4">
        <f>(20*320)/1000</f>
        <v>6.4</v>
      </c>
      <c r="C108" s="141">
        <f t="shared" si="18"/>
        <v>2.6359143327841849E-4</v>
      </c>
    </row>
    <row r="109" spans="1:3" x14ac:dyDescent="0.35">
      <c r="A109" s="7" t="s">
        <v>473</v>
      </c>
      <c r="B109" s="4">
        <f>(20*325)/1000</f>
        <v>6.5</v>
      </c>
      <c r="C109" s="141">
        <f t="shared" si="18"/>
        <v>2.6771004942339376E-4</v>
      </c>
    </row>
    <row r="110" spans="1:3" x14ac:dyDescent="0.35">
      <c r="A110" s="7" t="s">
        <v>474</v>
      </c>
      <c r="B110" s="4">
        <f>540*29/1000</f>
        <v>15.66</v>
      </c>
      <c r="C110" s="141">
        <f t="shared" si="18"/>
        <v>6.4497528830313017E-4</v>
      </c>
    </row>
    <row r="111" spans="1:3" x14ac:dyDescent="0.35">
      <c r="A111" s="7" t="s">
        <v>475</v>
      </c>
      <c r="B111" s="4">
        <f>545*29/1000</f>
        <v>15.805</v>
      </c>
      <c r="C111" s="141">
        <f>IFERROR(B111/$V$5,"")</f>
        <v>6.509472817133443E-4</v>
      </c>
    </row>
    <row r="112" spans="1:3" x14ac:dyDescent="0.35">
      <c r="A112" s="7" t="s">
        <v>476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35">
      <c r="A113" s="7" t="s">
        <v>477</v>
      </c>
      <c r="B113" s="4">
        <f>540*29*2/1000</f>
        <v>31.32</v>
      </c>
      <c r="C113" s="141">
        <f t="shared" si="20"/>
        <v>1.2899505766062603E-3</v>
      </c>
    </row>
    <row r="114" spans="1:6" x14ac:dyDescent="0.35">
      <c r="A114" s="7" t="s">
        <v>131</v>
      </c>
      <c r="B114" s="4">
        <v>1190.1799999999998</v>
      </c>
      <c r="C114" s="141">
        <f t="shared" si="20"/>
        <v>4.9018945634266876E-2</v>
      </c>
    </row>
    <row r="115" spans="1:6" x14ac:dyDescent="0.35">
      <c r="A115" s="7" t="s">
        <v>132</v>
      </c>
      <c r="B115" s="4">
        <v>1221.4799999999998</v>
      </c>
      <c r="C115" s="141">
        <f t="shared" si="20"/>
        <v>5.0308072487644143E-2</v>
      </c>
    </row>
    <row r="116" spans="1:6" x14ac:dyDescent="0.35">
      <c r="A116" s="7" t="s">
        <v>133</v>
      </c>
      <c r="B116" s="4">
        <v>1190.3150000000001</v>
      </c>
      <c r="C116" s="141">
        <f t="shared" si="20"/>
        <v>4.9024505766062605E-2</v>
      </c>
    </row>
    <row r="117" spans="1:6" x14ac:dyDescent="0.35">
      <c r="A117" s="7" t="s">
        <v>134</v>
      </c>
      <c r="B117" s="4">
        <v>1224.7550000000001</v>
      </c>
      <c r="C117" s="141">
        <f t="shared" si="20"/>
        <v>5.0442957166392098E-2</v>
      </c>
    </row>
    <row r="118" spans="1:6" x14ac:dyDescent="0.35">
      <c r="A118" s="7" t="s">
        <v>135</v>
      </c>
      <c r="B118" s="4">
        <v>1231.6000000000001</v>
      </c>
      <c r="C118" s="141">
        <f t="shared" si="20"/>
        <v>5.0724876441515659E-2</v>
      </c>
    </row>
    <row r="119" spans="1:6" x14ac:dyDescent="0.35">
      <c r="A119" s="7" t="s">
        <v>136</v>
      </c>
      <c r="B119" s="5">
        <v>1195.0899999999999</v>
      </c>
      <c r="C119" s="141">
        <f t="shared" si="20"/>
        <v>4.9221169686985172E-2</v>
      </c>
    </row>
    <row r="120" spans="1:6" x14ac:dyDescent="0.35">
      <c r="A120" s="7" t="s">
        <v>137</v>
      </c>
      <c r="B120" s="5">
        <v>1228.355</v>
      </c>
      <c r="C120" s="141">
        <f t="shared" si="20"/>
        <v>5.0591227347611206E-2</v>
      </c>
      <c r="E120" s="211"/>
      <c r="F120" s="211"/>
    </row>
    <row r="121" spans="1:6" x14ac:dyDescent="0.35">
      <c r="A121" s="7" t="s">
        <v>138</v>
      </c>
      <c r="B121" s="5">
        <v>1226.07</v>
      </c>
      <c r="C121" s="141">
        <f t="shared" si="20"/>
        <v>5.0497116968698512E-2</v>
      </c>
      <c r="E121" s="211"/>
      <c r="F121" s="211"/>
    </row>
    <row r="122" spans="1:6" x14ac:dyDescent="0.35">
      <c r="A122" s="7" t="s">
        <v>478</v>
      </c>
      <c r="B122" s="4">
        <v>4826.7299999999996</v>
      </c>
      <c r="C122" s="141">
        <f t="shared" si="20"/>
        <v>0.1987944810543657</v>
      </c>
      <c r="E122" s="211"/>
      <c r="F122" s="211"/>
    </row>
    <row r="123" spans="1:6" x14ac:dyDescent="0.35">
      <c r="A123" s="7" t="s">
        <v>140</v>
      </c>
      <c r="B123" s="4">
        <v>4881.1149999999998</v>
      </c>
      <c r="C123" s="141">
        <f t="shared" si="20"/>
        <v>0.20103439044481053</v>
      </c>
      <c r="E123" s="211"/>
      <c r="F123" s="211"/>
    </row>
    <row r="124" spans="1:6" x14ac:dyDescent="0.35">
      <c r="A124" s="7" t="s">
        <v>139</v>
      </c>
      <c r="B124" s="5">
        <v>1454.0600000000004</v>
      </c>
      <c r="C124" s="141">
        <f t="shared" si="20"/>
        <v>5.9887149917627697E-2</v>
      </c>
      <c r="E124" s="211"/>
      <c r="F124" s="211"/>
    </row>
    <row r="125" spans="1:6" x14ac:dyDescent="0.35">
      <c r="A125" s="7" t="s">
        <v>479</v>
      </c>
      <c r="B125" s="5">
        <v>1548.8900000000003</v>
      </c>
      <c r="C125" s="141">
        <f t="shared" si="20"/>
        <v>6.3792833607907759E-2</v>
      </c>
      <c r="E125" s="211"/>
      <c r="F125" s="211"/>
    </row>
    <row r="126" spans="1:6" x14ac:dyDescent="0.35">
      <c r="A126" s="7" t="s">
        <v>480</v>
      </c>
      <c r="B126" s="5">
        <v>250.55999999999997</v>
      </c>
      <c r="C126" s="141">
        <f t="shared" si="20"/>
        <v>1.0319604612850081E-2</v>
      </c>
      <c r="E126" s="211"/>
      <c r="F126" s="211"/>
    </row>
    <row r="127" spans="1:6" x14ac:dyDescent="0.35">
      <c r="A127" s="7" t="s">
        <v>481</v>
      </c>
      <c r="B127" s="5">
        <v>250.55999999999997</v>
      </c>
      <c r="C127" s="141">
        <f t="shared" si="20"/>
        <v>1.0319604612850081E-2</v>
      </c>
      <c r="E127" s="211"/>
      <c r="F127" s="211"/>
    </row>
    <row r="128" spans="1:6" x14ac:dyDescent="0.35">
      <c r="A128" s="7" t="s">
        <v>482</v>
      </c>
      <c r="B128" s="5">
        <v>250.55999999999997</v>
      </c>
      <c r="C128" s="141">
        <f t="shared" si="20"/>
        <v>1.0319604612850081E-2</v>
      </c>
      <c r="E128" s="211"/>
      <c r="F128" s="211"/>
    </row>
    <row r="129" spans="1:6" x14ac:dyDescent="0.35">
      <c r="A129" s="7" t="s">
        <v>483</v>
      </c>
      <c r="B129" s="5">
        <v>219.23999999999998</v>
      </c>
      <c r="C129" s="141">
        <f t="shared" si="20"/>
        <v>9.029654036243822E-3</v>
      </c>
      <c r="E129" s="211"/>
      <c r="F129" s="211"/>
    </row>
    <row r="130" spans="1:6" x14ac:dyDescent="0.35">
      <c r="A130" s="7" t="s">
        <v>484</v>
      </c>
      <c r="B130" s="5">
        <v>219.26</v>
      </c>
      <c r="C130" s="141">
        <f t="shared" si="20"/>
        <v>9.0304777594728165E-3</v>
      </c>
      <c r="E130" s="211"/>
      <c r="F130" s="211"/>
    </row>
    <row r="131" spans="1:6" x14ac:dyDescent="0.35">
      <c r="A131" s="7" t="s">
        <v>485</v>
      </c>
      <c r="B131" s="5">
        <v>219.23999999999998</v>
      </c>
      <c r="C131" s="141">
        <f t="shared" si="20"/>
        <v>9.029654036243822E-3</v>
      </c>
      <c r="E131" s="211"/>
      <c r="F131" s="211"/>
    </row>
    <row r="132" spans="1:6" x14ac:dyDescent="0.35">
      <c r="A132" s="7" t="s">
        <v>486</v>
      </c>
      <c r="B132" s="5">
        <v>250.55999999999997</v>
      </c>
      <c r="C132" s="141">
        <f t="shared" si="20"/>
        <v>1.0319604612850081E-2</v>
      </c>
      <c r="E132" s="211"/>
      <c r="F132" s="211"/>
    </row>
    <row r="133" spans="1:6" x14ac:dyDescent="0.35">
      <c r="A133" s="7" t="s">
        <v>487</v>
      </c>
      <c r="B133" s="5">
        <v>250.55999999999997</v>
      </c>
      <c r="C133" s="141">
        <f t="shared" si="20"/>
        <v>1.0319604612850081E-2</v>
      </c>
      <c r="E133" s="211"/>
      <c r="F133" s="211"/>
    </row>
    <row r="134" spans="1:6" x14ac:dyDescent="0.35">
      <c r="A134" s="7" t="s">
        <v>488</v>
      </c>
      <c r="B134" s="5">
        <v>250.55999999999997</v>
      </c>
      <c r="C134" s="141">
        <f t="shared" si="20"/>
        <v>1.0319604612850081E-2</v>
      </c>
    </row>
    <row r="135" spans="1:6" x14ac:dyDescent="0.35">
      <c r="A135" s="7" t="s">
        <v>489</v>
      </c>
      <c r="B135" s="5">
        <v>250.55999999999997</v>
      </c>
      <c r="C135" s="141">
        <f t="shared" si="20"/>
        <v>1.0319604612850081E-2</v>
      </c>
    </row>
    <row r="136" spans="1:6" x14ac:dyDescent="0.35">
      <c r="A136" s="7" t="s">
        <v>490</v>
      </c>
      <c r="B136" s="5">
        <v>250.71499999999997</v>
      </c>
      <c r="C136" s="141">
        <f t="shared" si="20"/>
        <v>1.0325988467874792E-2</v>
      </c>
    </row>
    <row r="137" spans="1:6" x14ac:dyDescent="0.35">
      <c r="A137" s="7" t="s">
        <v>491</v>
      </c>
      <c r="B137" s="5">
        <v>250.55999999999997</v>
      </c>
      <c r="C137" s="141">
        <f t="shared" si="20"/>
        <v>1.0319604612850081E-2</v>
      </c>
    </row>
    <row r="138" spans="1:6" x14ac:dyDescent="0.35">
      <c r="A138" s="7" t="s">
        <v>492</v>
      </c>
      <c r="B138" s="5">
        <v>219.23999999999998</v>
      </c>
      <c r="C138" s="141">
        <f t="shared" si="20"/>
        <v>9.029654036243822E-3</v>
      </c>
    </row>
    <row r="139" spans="1:6" x14ac:dyDescent="0.35">
      <c r="A139" s="7" t="s">
        <v>493</v>
      </c>
      <c r="B139" s="5">
        <v>219.23999999999998</v>
      </c>
      <c r="C139" s="141">
        <f t="shared" si="20"/>
        <v>9.029654036243822E-3</v>
      </c>
    </row>
    <row r="140" spans="1:6" x14ac:dyDescent="0.35">
      <c r="A140" s="7" t="s">
        <v>494</v>
      </c>
      <c r="B140" s="5">
        <v>250.55999999999997</v>
      </c>
      <c r="C140" s="141">
        <f t="shared" si="20"/>
        <v>1.0319604612850081E-2</v>
      </c>
    </row>
    <row r="141" spans="1:6" x14ac:dyDescent="0.35">
      <c r="A141" s="7" t="s">
        <v>495</v>
      </c>
      <c r="B141" s="5">
        <v>250.55999999999997</v>
      </c>
      <c r="C141" s="141">
        <f t="shared" si="20"/>
        <v>1.0319604612850081E-2</v>
      </c>
    </row>
    <row r="142" spans="1:6" x14ac:dyDescent="0.35">
      <c r="A142" s="7" t="s">
        <v>496</v>
      </c>
      <c r="B142" s="5">
        <v>234.89999999999998</v>
      </c>
      <c r="C142" s="141">
        <f t="shared" si="20"/>
        <v>9.6746293245469506E-3</v>
      </c>
    </row>
    <row r="143" spans="1:6" x14ac:dyDescent="0.35">
      <c r="A143" s="7" t="s">
        <v>497</v>
      </c>
      <c r="B143" s="5">
        <v>252.90500000000003</v>
      </c>
      <c r="C143" s="141">
        <f t="shared" si="20"/>
        <v>1.0416186161449754E-2</v>
      </c>
    </row>
    <row r="144" spans="1:6" x14ac:dyDescent="0.35">
      <c r="A144" s="7" t="s">
        <v>498</v>
      </c>
      <c r="B144" s="5">
        <v>235.60499999999999</v>
      </c>
      <c r="C144" s="141">
        <f t="shared" si="20"/>
        <v>9.7036655683690274E-3</v>
      </c>
    </row>
    <row r="145" spans="1:3" x14ac:dyDescent="0.35">
      <c r="A145" s="7" t="s">
        <v>499</v>
      </c>
      <c r="B145" s="5">
        <v>250.785</v>
      </c>
      <c r="C145" s="141">
        <f t="shared" si="20"/>
        <v>1.0328871499176277E-2</v>
      </c>
    </row>
    <row r="146" spans="1:3" x14ac:dyDescent="0.35">
      <c r="A146" s="7" t="s">
        <v>500</v>
      </c>
      <c r="B146" s="5">
        <v>252.03</v>
      </c>
      <c r="C146" s="141">
        <f t="shared" si="20"/>
        <v>1.038014827018122E-2</v>
      </c>
    </row>
    <row r="147" spans="1:3" x14ac:dyDescent="0.35">
      <c r="A147" s="7" t="s">
        <v>501</v>
      </c>
      <c r="B147" s="5">
        <v>253.10000000000002</v>
      </c>
      <c r="C147" s="141">
        <f t="shared" si="20"/>
        <v>1.0424217462932456E-2</v>
      </c>
    </row>
    <row r="148" spans="1:3" x14ac:dyDescent="0.35">
      <c r="A148" s="7" t="s">
        <v>502</v>
      </c>
      <c r="B148" s="5">
        <v>252.78500000000003</v>
      </c>
      <c r="C148" s="141">
        <f t="shared" si="20"/>
        <v>1.0411243822075783E-2</v>
      </c>
    </row>
    <row r="149" spans="1:3" x14ac:dyDescent="0.35">
      <c r="A149" s="7" t="s">
        <v>503</v>
      </c>
      <c r="B149" s="5">
        <v>252.88000000000005</v>
      </c>
      <c r="C149" s="141">
        <f t="shared" si="20"/>
        <v>1.0415156507413511E-2</v>
      </c>
    </row>
    <row r="150" spans="1:3" x14ac:dyDescent="0.35">
      <c r="A150" s="7" t="s">
        <v>504</v>
      </c>
      <c r="B150" s="5">
        <v>220.80500000000001</v>
      </c>
      <c r="C150" s="141">
        <f t="shared" si="20"/>
        <v>9.0941103789126849E-3</v>
      </c>
    </row>
    <row r="151" spans="1:3" x14ac:dyDescent="0.35">
      <c r="A151" s="7" t="s">
        <v>505</v>
      </c>
      <c r="B151" s="5">
        <v>219.23999999999998</v>
      </c>
      <c r="C151" s="141">
        <f t="shared" si="20"/>
        <v>9.029654036243822E-3</v>
      </c>
    </row>
    <row r="152" spans="1:3" x14ac:dyDescent="0.35">
      <c r="A152" s="7" t="s">
        <v>506</v>
      </c>
      <c r="B152" s="5">
        <v>219.625</v>
      </c>
      <c r="C152" s="141">
        <f t="shared" si="20"/>
        <v>9.0455107084019774E-3</v>
      </c>
    </row>
    <row r="153" spans="1:3" x14ac:dyDescent="0.35">
      <c r="A153" s="7" t="s">
        <v>507</v>
      </c>
      <c r="B153" s="5">
        <v>251.91499999999996</v>
      </c>
      <c r="C153" s="141">
        <f t="shared" si="20"/>
        <v>1.0375411861614496E-2</v>
      </c>
    </row>
    <row r="154" spans="1:3" x14ac:dyDescent="0.35">
      <c r="A154" s="7" t="s">
        <v>508</v>
      </c>
      <c r="B154" s="5">
        <v>252.01000000000005</v>
      </c>
      <c r="C154" s="141">
        <f t="shared" si="20"/>
        <v>1.0379324546952225E-2</v>
      </c>
    </row>
    <row r="155" spans="1:3" x14ac:dyDescent="0.35">
      <c r="A155" s="7" t="s">
        <v>509</v>
      </c>
      <c r="B155" s="5">
        <v>252.3</v>
      </c>
      <c r="C155" s="141">
        <f t="shared" si="20"/>
        <v>1.0391268533772653E-2</v>
      </c>
    </row>
    <row r="156" spans="1:3" x14ac:dyDescent="0.35">
      <c r="A156" s="7" t="s">
        <v>510</v>
      </c>
      <c r="B156" s="5">
        <v>219.36499999999998</v>
      </c>
      <c r="C156" s="141">
        <f t="shared" si="20"/>
        <v>9.0348023064250396E-3</v>
      </c>
    </row>
    <row r="157" spans="1:3" x14ac:dyDescent="0.35">
      <c r="A157" s="7" t="s">
        <v>511</v>
      </c>
      <c r="B157" s="5">
        <v>252.59000000000003</v>
      </c>
      <c r="C157" s="141">
        <f t="shared" si="20"/>
        <v>1.0403212520593083E-2</v>
      </c>
    </row>
    <row r="158" spans="1:3" x14ac:dyDescent="0.35">
      <c r="A158" s="7" t="s">
        <v>512</v>
      </c>
      <c r="B158" s="5">
        <v>252.45000000000005</v>
      </c>
      <c r="C158" s="141">
        <f t="shared" si="20"/>
        <v>1.0397446457990117E-2</v>
      </c>
    </row>
    <row r="159" spans="1:3" x14ac:dyDescent="0.35">
      <c r="A159" s="7" t="s">
        <v>513</v>
      </c>
      <c r="B159" s="5">
        <v>252.88000000000005</v>
      </c>
      <c r="C159" s="141">
        <f t="shared" si="20"/>
        <v>1.0415156507413511E-2</v>
      </c>
    </row>
    <row r="160" spans="1:3" x14ac:dyDescent="0.35">
      <c r="A160" s="7" t="s">
        <v>514</v>
      </c>
      <c r="B160" s="5">
        <v>251.07</v>
      </c>
      <c r="C160" s="141">
        <f t="shared" si="20"/>
        <v>1.0340609555189456E-2</v>
      </c>
    </row>
    <row r="161" spans="1:6" x14ac:dyDescent="0.35">
      <c r="A161" s="7" t="s">
        <v>515</v>
      </c>
      <c r="B161" s="5">
        <v>252.875</v>
      </c>
      <c r="C161" s="141">
        <f t="shared" si="20"/>
        <v>1.041495057660626E-2</v>
      </c>
    </row>
    <row r="162" spans="1:6" x14ac:dyDescent="0.35">
      <c r="A162" s="7" t="s">
        <v>516</v>
      </c>
      <c r="B162" s="5">
        <v>250.58499999999998</v>
      </c>
      <c r="C162" s="141">
        <f t="shared" si="20"/>
        <v>1.0320634266886326E-2</v>
      </c>
    </row>
    <row r="163" spans="1:6" x14ac:dyDescent="0.35">
      <c r="A163" s="7" t="s">
        <v>517</v>
      </c>
      <c r="B163" s="5">
        <v>250.58499999999998</v>
      </c>
      <c r="C163" s="141">
        <f t="shared" si="20"/>
        <v>1.0320634266886326E-2</v>
      </c>
      <c r="E163" s="212"/>
      <c r="F163" s="212"/>
    </row>
    <row r="164" spans="1:6" x14ac:dyDescent="0.35">
      <c r="A164" s="7" t="s">
        <v>518</v>
      </c>
      <c r="B164" s="5">
        <v>220.875</v>
      </c>
      <c r="C164" s="141">
        <f t="shared" si="20"/>
        <v>9.0969934102141676E-3</v>
      </c>
      <c r="E164" s="213"/>
      <c r="F164" s="213"/>
    </row>
    <row r="165" spans="1:6" x14ac:dyDescent="0.35">
      <c r="A165" s="7" t="s">
        <v>519</v>
      </c>
      <c r="B165" s="5">
        <v>251.15000000000003</v>
      </c>
      <c r="C165" s="141">
        <f t="shared" si="20"/>
        <v>1.0343904448105437E-2</v>
      </c>
    </row>
    <row r="166" spans="1:6" x14ac:dyDescent="0.35">
      <c r="A166" s="7" t="s">
        <v>520</v>
      </c>
      <c r="B166" s="5">
        <v>221.27000000000004</v>
      </c>
      <c r="C166" s="141">
        <f t="shared" si="20"/>
        <v>9.113261943986822E-3</v>
      </c>
    </row>
    <row r="167" spans="1:6" x14ac:dyDescent="0.35">
      <c r="A167" s="7" t="s">
        <v>521</v>
      </c>
      <c r="B167" s="5">
        <v>252.88000000000005</v>
      </c>
      <c r="C167" s="141">
        <f t="shared" si="20"/>
        <v>1.0415156507413511E-2</v>
      </c>
    </row>
    <row r="168" spans="1:6" x14ac:dyDescent="0.35">
      <c r="A168" s="7" t="s">
        <v>522</v>
      </c>
      <c r="B168" s="5">
        <v>252.88000000000005</v>
      </c>
      <c r="C168" s="141">
        <f t="shared" si="20"/>
        <v>1.0415156507413511E-2</v>
      </c>
    </row>
    <row r="169" spans="1:6" x14ac:dyDescent="0.35">
      <c r="A169" s="7" t="s">
        <v>523</v>
      </c>
      <c r="B169" s="5">
        <v>252.88000000000005</v>
      </c>
      <c r="C169" s="141">
        <f t="shared" si="20"/>
        <v>1.0415156507413511E-2</v>
      </c>
    </row>
    <row r="170" spans="1:6" x14ac:dyDescent="0.35">
      <c r="A170" s="7" t="s">
        <v>524</v>
      </c>
      <c r="B170" s="5">
        <v>221.27000000000004</v>
      </c>
      <c r="C170" s="141">
        <f t="shared" si="20"/>
        <v>9.113261943986822E-3</v>
      </c>
    </row>
    <row r="171" spans="1:6" x14ac:dyDescent="0.35">
      <c r="A171" s="7" t="s">
        <v>525</v>
      </c>
      <c r="B171" s="5">
        <v>252.88000000000005</v>
      </c>
      <c r="C171" s="141">
        <f t="shared" si="20"/>
        <v>1.0415156507413511E-2</v>
      </c>
    </row>
    <row r="172" spans="1:6" x14ac:dyDescent="0.35">
      <c r="A172" s="7" t="s">
        <v>526</v>
      </c>
      <c r="B172" s="5">
        <v>252.88000000000005</v>
      </c>
      <c r="C172" s="141">
        <f t="shared" si="20"/>
        <v>1.0415156507413511E-2</v>
      </c>
    </row>
    <row r="173" spans="1:6" x14ac:dyDescent="0.35">
      <c r="A173" s="7" t="s">
        <v>527</v>
      </c>
      <c r="B173" s="5">
        <v>252.88000000000005</v>
      </c>
      <c r="C173" s="141">
        <f t="shared" si="20"/>
        <v>1.0415156507413511E-2</v>
      </c>
    </row>
    <row r="174" spans="1:6" x14ac:dyDescent="0.35">
      <c r="A174" s="7" t="s">
        <v>528</v>
      </c>
      <c r="B174" s="5">
        <v>252.88000000000005</v>
      </c>
      <c r="C174" s="141">
        <f t="shared" si="20"/>
        <v>1.0415156507413511E-2</v>
      </c>
    </row>
    <row r="175" spans="1:6" x14ac:dyDescent="0.35">
      <c r="A175" s="7" t="s">
        <v>529</v>
      </c>
      <c r="B175" s="5">
        <v>252.88000000000005</v>
      </c>
      <c r="C175" s="141">
        <f t="shared" si="20"/>
        <v>1.0415156507413511E-2</v>
      </c>
    </row>
    <row r="176" spans="1:6" x14ac:dyDescent="0.35">
      <c r="A176" s="7" t="s">
        <v>530</v>
      </c>
      <c r="B176" s="5">
        <v>252.88000000000005</v>
      </c>
      <c r="C176" s="141">
        <f t="shared" si="20"/>
        <v>1.0415156507413511E-2</v>
      </c>
    </row>
    <row r="177" spans="1:3" x14ac:dyDescent="0.35">
      <c r="A177" s="7" t="s">
        <v>531</v>
      </c>
      <c r="B177" s="5">
        <v>284.49000000000007</v>
      </c>
      <c r="C177" s="141">
        <f t="shared" si="20"/>
        <v>1.1717051070840201E-2</v>
      </c>
    </row>
    <row r="178" spans="1:3" x14ac:dyDescent="0.35">
      <c r="A178" s="7" t="s">
        <v>532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35">
      <c r="A179" s="7" t="s">
        <v>533</v>
      </c>
      <c r="B179" s="5">
        <v>3002.9500000000012</v>
      </c>
      <c r="C179" s="141">
        <f t="shared" si="21"/>
        <v>0.12367998352553547</v>
      </c>
    </row>
    <row r="180" spans="1:3" x14ac:dyDescent="0.35">
      <c r="A180" s="7" t="s">
        <v>534</v>
      </c>
      <c r="B180" s="5">
        <v>9707.8449999999957</v>
      </c>
      <c r="C180" s="141">
        <f t="shared" si="21"/>
        <v>0.39982887149917612</v>
      </c>
    </row>
    <row r="181" spans="1:3" x14ac:dyDescent="0.35">
      <c r="A181" s="7" t="s">
        <v>535</v>
      </c>
      <c r="B181" s="5">
        <v>3002.9500000000012</v>
      </c>
      <c r="C181" s="141">
        <f t="shared" si="21"/>
        <v>0.12367998352553547</v>
      </c>
    </row>
    <row r="182" spans="1:3" x14ac:dyDescent="0.35">
      <c r="A182" s="7" t="s">
        <v>536</v>
      </c>
      <c r="B182" s="5">
        <v>11503</v>
      </c>
      <c r="C182" s="141">
        <f t="shared" si="21"/>
        <v>0.47376441515650741</v>
      </c>
    </row>
    <row r="183" spans="1:3" x14ac:dyDescent="0.35">
      <c r="A183" s="7" t="s">
        <v>168</v>
      </c>
      <c r="B183" s="5">
        <v>24213.794999999998</v>
      </c>
      <c r="C183" s="141">
        <f t="shared" si="21"/>
        <v>0.99727327018121903</v>
      </c>
    </row>
    <row r="184" spans="1:3" x14ac:dyDescent="0.35">
      <c r="A184" s="7" t="s">
        <v>537</v>
      </c>
      <c r="B184" s="5">
        <f>SUM(B2:B7)</f>
        <v>6908.7</v>
      </c>
      <c r="C184" s="141">
        <f t="shared" si="21"/>
        <v>0.28454283360790772</v>
      </c>
    </row>
    <row r="185" spans="1:3" x14ac:dyDescent="0.35">
      <c r="A185" s="7" t="s">
        <v>538</v>
      </c>
      <c r="B185" s="5">
        <f>SUM(B8:B11)</f>
        <v>4594.3999999999996</v>
      </c>
      <c r="C185" s="141">
        <f t="shared" si="21"/>
        <v>0.18922570016474463</v>
      </c>
    </row>
    <row r="186" spans="1:3" x14ac:dyDescent="0.35">
      <c r="A186" s="7" t="s">
        <v>539</v>
      </c>
      <c r="B186" s="5">
        <f>B180</f>
        <v>9707.8449999999957</v>
      </c>
      <c r="C186" s="141">
        <f t="shared" si="21"/>
        <v>0.39982887149917612</v>
      </c>
    </row>
    <row r="187" spans="1:3" x14ac:dyDescent="0.35">
      <c r="A187" s="7" t="s">
        <v>540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topRight" activeCell="S1" sqref="S1"/>
      <selection pane="bottomLeft" activeCell="S1" sqref="S1"/>
      <selection pane="bottomRight" activeCell="T29" sqref="T29"/>
    </sheetView>
  </sheetViews>
  <sheetFormatPr defaultColWidth="8.54296875" defaultRowHeight="14.5" x14ac:dyDescent="0.35"/>
  <cols>
    <col min="1" max="2" width="9.453125" style="6" customWidth="1"/>
    <col min="3" max="3" width="15.81640625" style="6" customWidth="1"/>
    <col min="4" max="6" width="8.54296875" style="6"/>
    <col min="7" max="7" width="20.54296875" style="6" customWidth="1"/>
    <col min="8" max="8" width="8.54296875" style="6"/>
    <col min="9" max="9" width="9.453125" style="6" bestFit="1" customWidth="1"/>
    <col min="10" max="14" width="8.54296875" style="6"/>
    <col min="15" max="15" width="9.81640625" style="6" bestFit="1" customWidth="1"/>
    <col min="16" max="16" width="11" style="6" customWidth="1"/>
    <col min="17" max="17" width="15.453125" style="6" customWidth="1"/>
    <col min="18" max="19" width="10.81640625" style="6" customWidth="1"/>
    <col min="20" max="20" width="13" style="6" customWidth="1"/>
    <col min="21" max="25" width="12.81640625" style="6" customWidth="1"/>
    <col min="26" max="27" width="14.54296875" style="6" customWidth="1"/>
    <col min="28" max="29" width="15.54296875" style="6" customWidth="1"/>
    <col min="30" max="38" width="9.81640625" style="6" customWidth="1"/>
    <col min="39" max="39" width="11.453125" style="6" customWidth="1"/>
    <col min="40" max="40" width="12.453125" style="6" bestFit="1" customWidth="1"/>
    <col min="41" max="41" width="9.81640625" style="6" customWidth="1"/>
    <col min="42" max="42" width="8.1796875" style="6" customWidth="1"/>
    <col min="43" max="16384" width="8.54296875" style="6"/>
  </cols>
  <sheetData>
    <row r="1" spans="1:45" ht="43.5" x14ac:dyDescent="0.35">
      <c r="A1" s="235" t="s">
        <v>7</v>
      </c>
      <c r="B1" s="235" t="s">
        <v>246</v>
      </c>
      <c r="C1" s="235" t="s">
        <v>247</v>
      </c>
      <c r="D1" s="235" t="s">
        <v>248</v>
      </c>
      <c r="E1" s="235" t="s">
        <v>249</v>
      </c>
      <c r="F1" s="235" t="s">
        <v>250</v>
      </c>
      <c r="G1" s="235" t="s">
        <v>251</v>
      </c>
      <c r="H1" s="235" t="s">
        <v>541</v>
      </c>
      <c r="I1" s="235" t="s">
        <v>542</v>
      </c>
      <c r="J1" s="235" t="s">
        <v>543</v>
      </c>
      <c r="K1" s="235" t="s">
        <v>544</v>
      </c>
      <c r="L1" s="235" t="s">
        <v>545</v>
      </c>
      <c r="M1" s="235" t="s">
        <v>546</v>
      </c>
      <c r="N1" s="235" t="s">
        <v>547</v>
      </c>
      <c r="O1" s="235" t="s">
        <v>548</v>
      </c>
      <c r="P1" s="235" t="s">
        <v>549</v>
      </c>
      <c r="Q1" s="235" t="s">
        <v>252</v>
      </c>
      <c r="R1" s="235" t="s">
        <v>550</v>
      </c>
      <c r="S1" s="235" t="s">
        <v>551</v>
      </c>
      <c r="T1" s="235" t="s">
        <v>552</v>
      </c>
      <c r="U1" s="235" t="s">
        <v>553</v>
      </c>
      <c r="V1" s="235" t="s">
        <v>554</v>
      </c>
      <c r="W1" s="235" t="s">
        <v>555</v>
      </c>
      <c r="X1" s="235" t="s">
        <v>556</v>
      </c>
      <c r="Y1" s="235" t="s">
        <v>557</v>
      </c>
      <c r="Z1" s="235" t="s">
        <v>558</v>
      </c>
      <c r="AA1" s="235" t="s">
        <v>559</v>
      </c>
      <c r="AB1" s="235" t="s">
        <v>560</v>
      </c>
      <c r="AC1" s="235" t="s">
        <v>561</v>
      </c>
      <c r="AD1" s="235" t="s">
        <v>562</v>
      </c>
      <c r="AE1" s="235" t="s">
        <v>563</v>
      </c>
      <c r="AF1" s="235" t="s">
        <v>564</v>
      </c>
      <c r="AG1" s="235" t="s">
        <v>565</v>
      </c>
      <c r="AH1" s="235" t="s">
        <v>566</v>
      </c>
      <c r="AI1" s="235" t="s">
        <v>567</v>
      </c>
      <c r="AJ1" s="235" t="s">
        <v>568</v>
      </c>
      <c r="AK1" s="235" t="s">
        <v>569</v>
      </c>
      <c r="AL1" s="235" t="s">
        <v>570</v>
      </c>
      <c r="AM1" s="235" t="s">
        <v>571</v>
      </c>
      <c r="AN1" s="235" t="s">
        <v>572</v>
      </c>
      <c r="AO1" s="235" t="s">
        <v>253</v>
      </c>
      <c r="AP1" s="235" t="s">
        <v>257</v>
      </c>
      <c r="AR1" s="6" t="s">
        <v>573</v>
      </c>
      <c r="AS1" s="236">
        <v>24.303100000000001</v>
      </c>
    </row>
    <row r="2" spans="1:45" x14ac:dyDescent="0.35">
      <c r="A2" s="237">
        <v>1</v>
      </c>
      <c r="B2" s="238" t="s">
        <v>266</v>
      </c>
      <c r="C2" s="237">
        <v>4</v>
      </c>
      <c r="D2" s="239">
        <v>45017</v>
      </c>
      <c r="E2" s="240">
        <f t="shared" ref="E2:E3" si="0">YEAR(D2)</f>
        <v>2023</v>
      </c>
      <c r="F2" s="240" t="s">
        <v>267</v>
      </c>
      <c r="G2" s="241">
        <f t="shared" ref="G2:G3" si="1">DAY(EOMONTH(D2,0))</f>
        <v>30</v>
      </c>
      <c r="H2" s="242">
        <v>197.1</v>
      </c>
      <c r="I2" s="242">
        <v>198.7</v>
      </c>
      <c r="J2" s="243"/>
      <c r="K2" s="242">
        <v>31.76</v>
      </c>
      <c r="L2" s="241"/>
      <c r="M2" s="244">
        <f>SUM(AO2+AP2)</f>
        <v>3730.4496872999898</v>
      </c>
      <c r="N2" s="244">
        <v>24.303100000000001</v>
      </c>
      <c r="O2" s="245">
        <f t="shared" ref="O2:O3" si="2">IFERROR(M2/I2/N2,"")</f>
        <v>0.77250561717314392</v>
      </c>
      <c r="P2" s="243">
        <f t="shared" ref="P2:P3" si="3">IFERROR(I2/G2,"")</f>
        <v>6.6233333333333331</v>
      </c>
      <c r="Q2" s="241">
        <f>COUNTIFS('Daily KPI'!$D:$D,D2,'Daily KPI'!$I:$I,"&gt;0")</f>
        <v>0</v>
      </c>
      <c r="R2" s="244">
        <f t="shared" ref="R2:R37" si="4">I2/G2*Q2</f>
        <v>0</v>
      </c>
      <c r="S2" s="244">
        <f>SUMIF($F$2:F2,F2,$R$2:R2)</f>
        <v>0</v>
      </c>
      <c r="T2" s="243">
        <f t="shared" ref="T2:T3" si="5">M2/G2</f>
        <v>124.34832290999967</v>
      </c>
      <c r="U2" s="244">
        <f t="shared" ref="U2:U3" si="6">M2/G2*Q2</f>
        <v>0</v>
      </c>
      <c r="V2" s="244">
        <f>SUMIF($F$2:F2,F2,$U$2:U2)</f>
        <v>0</v>
      </c>
      <c r="W2" s="245">
        <f t="shared" ref="W2:W3" si="7">IFERROR(T2/(24*N2),"")</f>
        <v>0.21319009185042179</v>
      </c>
      <c r="X2" s="245" t="str">
        <f t="shared" ref="X2:X37" si="8">IFERROR(U2/(24*N2*Q2),"")</f>
        <v/>
      </c>
      <c r="Y2" s="245" t="str">
        <f t="shared" ref="Y2:Y25" si="9">IFERROR(V2/(24*N2*SUMIFS($Q:$Q,$F:$F,$F2,$D:$D,"&lt;="&amp;D2)),"")</f>
        <v/>
      </c>
      <c r="Z2" s="243">
        <v>11.5031</v>
      </c>
      <c r="AA2" s="246">
        <f>IFERROR(AVERAGEIF($F$2:F2,F2,$N$2:N2),"")</f>
        <v>24.303100000000001</v>
      </c>
      <c r="AB2" s="244"/>
      <c r="AC2" s="243"/>
      <c r="AD2" s="243"/>
      <c r="AE2" s="245">
        <v>0.995</v>
      </c>
      <c r="AF2" s="245">
        <v>0.995</v>
      </c>
      <c r="AG2" s="245"/>
      <c r="AH2" s="245"/>
      <c r="AI2" s="245"/>
      <c r="AJ2" s="245"/>
      <c r="AK2" s="245"/>
      <c r="AL2" s="245"/>
      <c r="AM2" s="247"/>
      <c r="AN2" s="247"/>
      <c r="AO2" s="247">
        <v>1520</v>
      </c>
      <c r="AP2" s="253">
        <v>2210.4496872999898</v>
      </c>
    </row>
    <row r="3" spans="1:45" x14ac:dyDescent="0.35">
      <c r="A3" s="238">
        <f t="shared" ref="A3:A37" si="10">A2+1</f>
        <v>2</v>
      </c>
      <c r="B3" s="238" t="s">
        <v>272</v>
      </c>
      <c r="C3" s="237">
        <v>5</v>
      </c>
      <c r="D3" s="239">
        <v>45047</v>
      </c>
      <c r="E3" s="248">
        <f t="shared" si="0"/>
        <v>2023</v>
      </c>
      <c r="F3" s="240" t="s">
        <v>267</v>
      </c>
      <c r="G3" s="249">
        <f t="shared" si="1"/>
        <v>31</v>
      </c>
      <c r="H3" s="246">
        <v>204.3</v>
      </c>
      <c r="I3" s="246">
        <v>202.4</v>
      </c>
      <c r="J3" s="250"/>
      <c r="K3" s="246">
        <v>30.53</v>
      </c>
      <c r="L3" s="249"/>
      <c r="M3" s="244">
        <f t="shared" ref="M3:M37" si="11">SUM(AO3+AP3)</f>
        <v>3686.24832899999</v>
      </c>
      <c r="N3" s="244">
        <v>24.303100000000001</v>
      </c>
      <c r="O3" s="252">
        <f t="shared" si="2"/>
        <v>0.74939778762913356</v>
      </c>
      <c r="P3" s="250">
        <f t="shared" si="3"/>
        <v>6.5290322580645164</v>
      </c>
      <c r="Q3" s="249">
        <f>COUNTIFS('Daily KPI'!$D:$D,D3,'Daily KPI'!$I:$I,"&gt;0")</f>
        <v>0</v>
      </c>
      <c r="R3" s="244">
        <f t="shared" si="4"/>
        <v>0</v>
      </c>
      <c r="S3" s="244">
        <f>SUMIF($F$2:F3,F3,$R$2:R3)</f>
        <v>0</v>
      </c>
      <c r="T3" s="250">
        <f t="shared" si="5"/>
        <v>118.91123641935452</v>
      </c>
      <c r="U3" s="251">
        <f t="shared" si="6"/>
        <v>0</v>
      </c>
      <c r="V3" s="244">
        <f>SUMIF($F$2:F3,F3,$U$2:U3)</f>
        <v>0</v>
      </c>
      <c r="W3" s="252">
        <f t="shared" si="7"/>
        <v>0.2038684303980331</v>
      </c>
      <c r="X3" s="252" t="str">
        <f t="shared" si="8"/>
        <v/>
      </c>
      <c r="Y3" s="252" t="str">
        <f t="shared" si="9"/>
        <v/>
      </c>
      <c r="Z3" s="250">
        <v>11.503100000000002</v>
      </c>
      <c r="AA3" s="246">
        <f>IFERROR(AVERAGEIF($F$2:F3,F3,$N$2:N3),"")</f>
        <v>24.303100000000001</v>
      </c>
      <c r="AB3" s="251"/>
      <c r="AC3" s="250"/>
      <c r="AD3" s="250"/>
      <c r="AE3" s="245">
        <v>0.995</v>
      </c>
      <c r="AF3" s="245">
        <v>0.995</v>
      </c>
      <c r="AG3" s="245"/>
      <c r="AH3" s="252"/>
      <c r="AI3" s="252"/>
      <c r="AJ3" s="252"/>
      <c r="AK3" s="252"/>
      <c r="AL3" s="252"/>
      <c r="AM3" s="247"/>
      <c r="AN3" s="247"/>
      <c r="AO3" s="247">
        <v>1620</v>
      </c>
      <c r="AP3" s="253">
        <v>2066.24832899999</v>
      </c>
    </row>
    <row r="4" spans="1:45" x14ac:dyDescent="0.35">
      <c r="A4" s="237">
        <f t="shared" si="10"/>
        <v>3</v>
      </c>
      <c r="B4" s="238" t="s">
        <v>277</v>
      </c>
      <c r="C4" s="237">
        <v>6</v>
      </c>
      <c r="D4" s="239">
        <v>45078</v>
      </c>
      <c r="E4" s="240">
        <f>YEAR(D4)</f>
        <v>2023</v>
      </c>
      <c r="F4" s="240" t="s">
        <v>267</v>
      </c>
      <c r="G4" s="241">
        <f>DAY(EOMONTH(D4,0))</f>
        <v>30</v>
      </c>
      <c r="H4" s="246">
        <v>156</v>
      </c>
      <c r="I4" s="246">
        <v>153.69999999999999</v>
      </c>
      <c r="J4" s="243"/>
      <c r="K4" s="246">
        <v>26.96</v>
      </c>
      <c r="L4" s="241"/>
      <c r="M4" s="244">
        <f t="shared" si="11"/>
        <v>2817.333100599998</v>
      </c>
      <c r="N4" s="244">
        <v>24.303100000000001</v>
      </c>
      <c r="O4" s="245">
        <f>IFERROR(M4/I4/N4,"")</f>
        <v>0.75422800913020338</v>
      </c>
      <c r="P4" s="243">
        <f>IFERROR(I4/G4,"")</f>
        <v>5.1233333333333331</v>
      </c>
      <c r="Q4" s="241">
        <f>COUNTIFS('Daily KPI'!$D:$D,D4,'Daily KPI'!$I:$I,"&gt;0")</f>
        <v>0</v>
      </c>
      <c r="R4" s="244">
        <f t="shared" si="4"/>
        <v>0</v>
      </c>
      <c r="S4" s="244">
        <f>SUMIF($F$2:F4,F4,$R$2:R4)</f>
        <v>0</v>
      </c>
      <c r="T4" s="243">
        <f>M4/G4</f>
        <v>93.911103353333274</v>
      </c>
      <c r="U4" s="244">
        <f>M4/G4*Q4</f>
        <v>0</v>
      </c>
      <c r="V4" s="244">
        <f>SUMIF($F$2:F4,F4,$U$2:U4)</f>
        <v>0</v>
      </c>
      <c r="W4" s="245">
        <f>IFERROR(T4/(24*N4),"")</f>
        <v>0.16100672917126702</v>
      </c>
      <c r="X4" s="245" t="str">
        <f t="shared" si="8"/>
        <v/>
      </c>
      <c r="Y4" s="245" t="str">
        <f t="shared" si="9"/>
        <v/>
      </c>
      <c r="Z4" s="243">
        <v>11.5031</v>
      </c>
      <c r="AA4" s="246">
        <f>IFERROR(AVERAGEIF($F$2:F4,F4,$N$2:N4),"")</f>
        <v>24.303100000000001</v>
      </c>
      <c r="AB4" s="244"/>
      <c r="AC4" s="243"/>
      <c r="AD4" s="243"/>
      <c r="AE4" s="245">
        <v>0.995</v>
      </c>
      <c r="AF4" s="245">
        <v>0.995</v>
      </c>
      <c r="AG4" s="245"/>
      <c r="AH4" s="245"/>
      <c r="AI4" s="245"/>
      <c r="AJ4" s="245"/>
      <c r="AK4" s="245"/>
      <c r="AL4" s="245"/>
      <c r="AM4" s="247"/>
      <c r="AN4" s="247"/>
      <c r="AO4" s="247">
        <v>1230</v>
      </c>
      <c r="AP4" s="253">
        <v>1587.3331005999978</v>
      </c>
    </row>
    <row r="5" spans="1:45" x14ac:dyDescent="0.35">
      <c r="A5" s="238">
        <f t="shared" si="10"/>
        <v>4</v>
      </c>
      <c r="B5" s="238" t="s">
        <v>282</v>
      </c>
      <c r="C5" s="237">
        <v>7</v>
      </c>
      <c r="D5" s="239">
        <v>45108</v>
      </c>
      <c r="E5" s="248">
        <f>YEAR(D5)</f>
        <v>2023</v>
      </c>
      <c r="F5" s="240" t="s">
        <v>267</v>
      </c>
      <c r="G5" s="249">
        <f>DAY(EOMONTH(D5,0))</f>
        <v>31</v>
      </c>
      <c r="H5" s="246">
        <v>138</v>
      </c>
      <c r="I5" s="246">
        <v>136.6</v>
      </c>
      <c r="J5" s="250"/>
      <c r="K5" s="246">
        <v>25.04</v>
      </c>
      <c r="L5" s="249"/>
      <c r="M5" s="244">
        <f t="shared" si="11"/>
        <v>2462.477316200001</v>
      </c>
      <c r="N5" s="244">
        <v>24.303100000000001</v>
      </c>
      <c r="O5" s="252">
        <f>IFERROR(M5/I5/N5,"")</f>
        <v>0.7417539459399205</v>
      </c>
      <c r="P5" s="250">
        <f>IFERROR(I5/G5,"")</f>
        <v>4.4064516129032256</v>
      </c>
      <c r="Q5" s="249">
        <f>COUNTIFS('Daily KPI'!$D:$D,D5,'Daily KPI'!$I:$I,"&gt;0")</f>
        <v>0</v>
      </c>
      <c r="R5" s="244">
        <f t="shared" si="4"/>
        <v>0</v>
      </c>
      <c r="S5" s="244">
        <f>SUMIF($F$2:F5,F5,$R$2:R5)</f>
        <v>0</v>
      </c>
      <c r="T5" s="250">
        <f>M5/G5</f>
        <v>79.434752135483905</v>
      </c>
      <c r="U5" s="251">
        <f>M5/G5*Q5</f>
        <v>0</v>
      </c>
      <c r="V5" s="244">
        <f>SUMIF($F$2:F5,F5,$U$2:U5)</f>
        <v>0</v>
      </c>
      <c r="W5" s="252">
        <f>IFERROR(T5/(24*N5),"")</f>
        <v>0.13618761964434561</v>
      </c>
      <c r="X5" s="252" t="str">
        <f t="shared" si="8"/>
        <v/>
      </c>
      <c r="Y5" s="252" t="str">
        <f t="shared" si="9"/>
        <v/>
      </c>
      <c r="Z5" s="250">
        <v>11.503100000000002</v>
      </c>
      <c r="AA5" s="246">
        <f>IFERROR(AVERAGEIF($F$2:F5,F5,$N$2:N5),"")</f>
        <v>24.303100000000001</v>
      </c>
      <c r="AB5" s="251"/>
      <c r="AC5" s="250"/>
      <c r="AD5" s="250"/>
      <c r="AE5" s="245">
        <v>0.995</v>
      </c>
      <c r="AF5" s="245">
        <v>0.995</v>
      </c>
      <c r="AG5" s="245"/>
      <c r="AH5" s="252"/>
      <c r="AI5" s="252"/>
      <c r="AJ5" s="252"/>
      <c r="AK5" s="252"/>
      <c r="AL5" s="252"/>
      <c r="AM5" s="247"/>
      <c r="AN5" s="247"/>
      <c r="AO5" s="247">
        <v>1150</v>
      </c>
      <c r="AP5" s="253">
        <v>1312.477316200001</v>
      </c>
    </row>
    <row r="6" spans="1:45" x14ac:dyDescent="0.35">
      <c r="A6" s="237">
        <f t="shared" si="10"/>
        <v>5</v>
      </c>
      <c r="B6" s="238" t="s">
        <v>287</v>
      </c>
      <c r="C6" s="237">
        <v>8</v>
      </c>
      <c r="D6" s="239">
        <v>45139</v>
      </c>
      <c r="E6" s="240">
        <f t="shared" ref="E6:E13" si="12">YEAR(D6)</f>
        <v>2023</v>
      </c>
      <c r="F6" s="240" t="s">
        <v>267</v>
      </c>
      <c r="G6" s="241">
        <f t="shared" ref="G6:G13" si="13">DAY(EOMONTH(D6,0))</f>
        <v>31</v>
      </c>
      <c r="H6" s="246">
        <v>129.30000000000001</v>
      </c>
      <c r="I6" s="246">
        <v>129.4</v>
      </c>
      <c r="J6" s="243"/>
      <c r="K6" s="246">
        <v>24.6</v>
      </c>
      <c r="L6" s="241"/>
      <c r="M6" s="244">
        <f t="shared" si="11"/>
        <v>2483.6344976000009</v>
      </c>
      <c r="N6" s="244">
        <v>24.303100000000001</v>
      </c>
      <c r="O6" s="245">
        <f t="shared" ref="O6:O37" si="14">IFERROR(M6/I6/N6,"")</f>
        <v>0.78975381652388688</v>
      </c>
      <c r="P6" s="243">
        <f t="shared" ref="P6:P37" si="15">IFERROR(I6/G6,"")</f>
        <v>4.1741935483870973</v>
      </c>
      <c r="Q6" s="241">
        <f>COUNTIFS('Daily KPI'!$D:$D,D6,'Daily KPI'!$I:$I,"&gt;0")</f>
        <v>0</v>
      </c>
      <c r="R6" s="244">
        <f t="shared" si="4"/>
        <v>0</v>
      </c>
      <c r="S6" s="244">
        <f>SUMIF($F$2:F6,F6,$R$2:R6)</f>
        <v>0</v>
      </c>
      <c r="T6" s="243">
        <f t="shared" ref="T6:T25" si="16">M6/G6</f>
        <v>80.117241858064546</v>
      </c>
      <c r="U6" s="244">
        <f t="shared" ref="U6:U25" si="17">M6/G6*Q6</f>
        <v>0</v>
      </c>
      <c r="V6" s="244">
        <f>SUMIF($F$2:F6,F6,$U$2:U6)</f>
        <v>0</v>
      </c>
      <c r="W6" s="245">
        <f t="shared" ref="W6:W25" si="18">IFERROR(T6/(24*N6),"")</f>
        <v>0.13735772023950399</v>
      </c>
      <c r="X6" s="245" t="str">
        <f t="shared" si="8"/>
        <v/>
      </c>
      <c r="Y6" s="245" t="str">
        <f t="shared" si="9"/>
        <v/>
      </c>
      <c r="Z6" s="243">
        <v>11.503100000000002</v>
      </c>
      <c r="AA6" s="246">
        <f>IFERROR(AVERAGEIF($F$2:F6,F6,$N$2:N6),"")</f>
        <v>24.303100000000001</v>
      </c>
      <c r="AB6" s="244"/>
      <c r="AC6" s="243"/>
      <c r="AD6" s="243"/>
      <c r="AE6" s="245">
        <v>0.995</v>
      </c>
      <c r="AF6" s="245">
        <v>0.995</v>
      </c>
      <c r="AG6" s="245"/>
      <c r="AH6" s="245"/>
      <c r="AI6" s="245"/>
      <c r="AJ6" s="245"/>
      <c r="AK6" s="245"/>
      <c r="AL6" s="245"/>
      <c r="AM6" s="247"/>
      <c r="AN6" s="247"/>
      <c r="AO6" s="247">
        <v>1090</v>
      </c>
      <c r="AP6" s="253">
        <v>1393.6344976000007</v>
      </c>
    </row>
    <row r="7" spans="1:45" x14ac:dyDescent="0.35">
      <c r="A7" s="237">
        <f t="shared" si="10"/>
        <v>6</v>
      </c>
      <c r="B7" s="238" t="s">
        <v>291</v>
      </c>
      <c r="C7" s="237">
        <v>9</v>
      </c>
      <c r="D7" s="239">
        <v>45170</v>
      </c>
      <c r="E7" s="240">
        <f t="shared" si="12"/>
        <v>2023</v>
      </c>
      <c r="F7" s="240" t="s">
        <v>267</v>
      </c>
      <c r="G7" s="249">
        <f t="shared" si="13"/>
        <v>30</v>
      </c>
      <c r="H7" s="246">
        <v>145.19999999999999</v>
      </c>
      <c r="I7" s="246">
        <v>148</v>
      </c>
      <c r="J7" s="243"/>
      <c r="K7" s="246">
        <v>25.31</v>
      </c>
      <c r="L7" s="241"/>
      <c r="M7" s="244">
        <f t="shared" si="11"/>
        <v>2834.4158026999953</v>
      </c>
      <c r="N7" s="244">
        <v>24.303100000000001</v>
      </c>
      <c r="O7" s="245">
        <f t="shared" si="14"/>
        <v>0.78802531884209492</v>
      </c>
      <c r="P7" s="243">
        <f t="shared" si="15"/>
        <v>4.9333333333333336</v>
      </c>
      <c r="Q7" s="241">
        <f>COUNTIFS('Daily KPI'!$D:$D,D7,'Daily KPI'!$I:$I,"&gt;0")</f>
        <v>0</v>
      </c>
      <c r="R7" s="244">
        <f t="shared" si="4"/>
        <v>0</v>
      </c>
      <c r="S7" s="244">
        <f>SUMIF($F$2:F7,F7,$R$2:R7)</f>
        <v>0</v>
      </c>
      <c r="T7" s="243">
        <f t="shared" si="16"/>
        <v>94.480526756666507</v>
      </c>
      <c r="U7" s="244">
        <f t="shared" si="17"/>
        <v>0</v>
      </c>
      <c r="V7" s="244">
        <f>SUMIF($F$2:F7,F7,$U$2:U7)</f>
        <v>0</v>
      </c>
      <c r="W7" s="245">
        <f t="shared" si="18"/>
        <v>0.16198298220643065</v>
      </c>
      <c r="X7" s="245" t="str">
        <f t="shared" si="8"/>
        <v/>
      </c>
      <c r="Y7" s="245" t="str">
        <f t="shared" si="9"/>
        <v/>
      </c>
      <c r="Z7" s="243">
        <v>11.5031</v>
      </c>
      <c r="AA7" s="246">
        <f>IFERROR(AVERAGEIF($F$2:F7,F7,$N$2:N7),"")</f>
        <v>24.303100000000001</v>
      </c>
      <c r="AB7" s="244"/>
      <c r="AC7" s="243"/>
      <c r="AD7" s="243"/>
      <c r="AE7" s="245">
        <v>0.995</v>
      </c>
      <c r="AF7" s="245">
        <v>0.995</v>
      </c>
      <c r="AG7" s="245"/>
      <c r="AH7" s="245"/>
      <c r="AI7" s="245"/>
      <c r="AJ7" s="245"/>
      <c r="AK7" s="245"/>
      <c r="AL7" s="245"/>
      <c r="AM7" s="247"/>
      <c r="AN7" s="247"/>
      <c r="AO7" s="247">
        <v>1200</v>
      </c>
      <c r="AP7" s="253">
        <v>1634.4158026999953</v>
      </c>
    </row>
    <row r="8" spans="1:45" x14ac:dyDescent="0.35">
      <c r="A8" s="238">
        <f t="shared" si="10"/>
        <v>7</v>
      </c>
      <c r="B8" s="238" t="s">
        <v>296</v>
      </c>
      <c r="C8" s="237">
        <v>10</v>
      </c>
      <c r="D8" s="239">
        <v>45200</v>
      </c>
      <c r="E8" s="248">
        <f t="shared" si="12"/>
        <v>2023</v>
      </c>
      <c r="F8" s="240" t="s">
        <v>267</v>
      </c>
      <c r="G8" s="241">
        <f t="shared" si="13"/>
        <v>31</v>
      </c>
      <c r="H8" s="246">
        <v>160</v>
      </c>
      <c r="I8" s="246">
        <v>187.1</v>
      </c>
      <c r="J8" s="250"/>
      <c r="K8" s="242">
        <v>26.6</v>
      </c>
      <c r="L8" s="249"/>
      <c r="M8" s="244">
        <f t="shared" si="11"/>
        <v>3327.7068845999879</v>
      </c>
      <c r="N8" s="244">
        <v>24.303100000000001</v>
      </c>
      <c r="O8" s="252">
        <f t="shared" si="14"/>
        <v>0.73182898088713444</v>
      </c>
      <c r="P8" s="250">
        <f t="shared" si="15"/>
        <v>6.0354838709677416</v>
      </c>
      <c r="Q8" s="249">
        <f>COUNTIFS('Daily KPI'!$D:$D,D8,'Daily KPI'!$I:$I,"&gt;0")</f>
        <v>0</v>
      </c>
      <c r="R8" s="244">
        <f t="shared" si="4"/>
        <v>0</v>
      </c>
      <c r="S8" s="244">
        <f>SUMIF($F$2:F8,F8,$R$2:R8)</f>
        <v>0</v>
      </c>
      <c r="T8" s="250">
        <f t="shared" si="16"/>
        <v>107.34538337419316</v>
      </c>
      <c r="U8" s="251">
        <f t="shared" si="17"/>
        <v>0</v>
      </c>
      <c r="V8" s="244">
        <f>SUMIF($F$2:F8,F8,$U$2:U8)</f>
        <v>0</v>
      </c>
      <c r="W8" s="252">
        <f t="shared" si="18"/>
        <v>0.18403925043546085</v>
      </c>
      <c r="X8" s="252" t="str">
        <f t="shared" si="8"/>
        <v/>
      </c>
      <c r="Y8" s="252" t="str">
        <f t="shared" si="9"/>
        <v/>
      </c>
      <c r="Z8" s="250">
        <v>11.503100000000002</v>
      </c>
      <c r="AA8" s="246">
        <f>IFERROR(AVERAGEIF($F$2:F8,F8,$N$2:N8),"")</f>
        <v>24.303100000000001</v>
      </c>
      <c r="AB8" s="251"/>
      <c r="AC8" s="250"/>
      <c r="AD8" s="250"/>
      <c r="AE8" s="245">
        <v>0.995</v>
      </c>
      <c r="AF8" s="245">
        <v>0.995</v>
      </c>
      <c r="AG8" s="245"/>
      <c r="AH8" s="252"/>
      <c r="AI8" s="252"/>
      <c r="AJ8" s="252"/>
      <c r="AK8" s="252"/>
      <c r="AL8" s="252"/>
      <c r="AM8" s="247"/>
      <c r="AN8" s="247"/>
      <c r="AO8" s="247">
        <v>1530</v>
      </c>
      <c r="AP8" s="253">
        <v>1797.7068845999879</v>
      </c>
    </row>
    <row r="9" spans="1:45" x14ac:dyDescent="0.35">
      <c r="A9" s="237">
        <f t="shared" si="10"/>
        <v>8</v>
      </c>
      <c r="B9" s="238" t="s">
        <v>301</v>
      </c>
      <c r="C9" s="237">
        <v>11</v>
      </c>
      <c r="D9" s="239">
        <v>45231</v>
      </c>
      <c r="E9" s="240">
        <f t="shared" si="12"/>
        <v>2023</v>
      </c>
      <c r="F9" s="240" t="s">
        <v>267</v>
      </c>
      <c r="G9" s="241">
        <f t="shared" si="13"/>
        <v>30</v>
      </c>
      <c r="H9" s="246">
        <v>147.9</v>
      </c>
      <c r="I9" s="246">
        <v>192.4</v>
      </c>
      <c r="J9" s="243"/>
      <c r="K9" s="246">
        <v>24.86</v>
      </c>
      <c r="L9" s="241"/>
      <c r="M9" s="244">
        <f t="shared" si="11"/>
        <v>3395.8173360999908</v>
      </c>
      <c r="N9" s="244">
        <v>24.303100000000001</v>
      </c>
      <c r="O9" s="245">
        <f t="shared" si="14"/>
        <v>0.72623567586678051</v>
      </c>
      <c r="P9" s="243">
        <f t="shared" si="15"/>
        <v>6.4133333333333331</v>
      </c>
      <c r="Q9" s="241">
        <f>COUNTIFS('Daily KPI'!$D:$D,D9,'Daily KPI'!$I:$I,"&gt;0")</f>
        <v>0</v>
      </c>
      <c r="R9" s="244">
        <f t="shared" si="4"/>
        <v>0</v>
      </c>
      <c r="S9" s="244">
        <f>SUMIF($F$2:F9,F9,$R$2:R9)</f>
        <v>0</v>
      </c>
      <c r="T9" s="243">
        <f t="shared" si="16"/>
        <v>113.19391120333303</v>
      </c>
      <c r="U9" s="244">
        <f t="shared" si="17"/>
        <v>0</v>
      </c>
      <c r="V9" s="244">
        <f>SUMIF($F$2:F9,F9,$U$2:U9)</f>
        <v>0</v>
      </c>
      <c r="W9" s="245">
        <f t="shared" si="18"/>
        <v>0.1940663111621786</v>
      </c>
      <c r="X9" s="245" t="str">
        <f t="shared" si="8"/>
        <v/>
      </c>
      <c r="Y9" s="245" t="str">
        <f t="shared" si="9"/>
        <v/>
      </c>
      <c r="Z9" s="243">
        <v>11.5031</v>
      </c>
      <c r="AA9" s="246">
        <f>IFERROR(AVERAGEIF($F$2:F9,F9,$N$2:N9),"")</f>
        <v>24.303100000000001</v>
      </c>
      <c r="AB9" s="244"/>
      <c r="AC9" s="243"/>
      <c r="AD9" s="243"/>
      <c r="AE9" s="245">
        <v>0.995</v>
      </c>
      <c r="AF9" s="245">
        <v>0.995</v>
      </c>
      <c r="AG9" s="245"/>
      <c r="AH9" s="245"/>
      <c r="AI9" s="245"/>
      <c r="AJ9" s="245"/>
      <c r="AK9" s="245"/>
      <c r="AL9" s="245"/>
      <c r="AM9" s="247"/>
      <c r="AN9" s="247"/>
      <c r="AO9" s="247">
        <v>1520</v>
      </c>
      <c r="AP9" s="253">
        <v>1875.8173360999908</v>
      </c>
    </row>
    <row r="10" spans="1:45" x14ac:dyDescent="0.35">
      <c r="A10" s="238">
        <f t="shared" si="10"/>
        <v>9</v>
      </c>
      <c r="B10" s="238" t="s">
        <v>306</v>
      </c>
      <c r="C10" s="237">
        <v>12</v>
      </c>
      <c r="D10" s="239">
        <v>45261</v>
      </c>
      <c r="E10" s="248">
        <f t="shared" si="12"/>
        <v>2023</v>
      </c>
      <c r="F10" s="240" t="s">
        <v>267</v>
      </c>
      <c r="G10" s="249">
        <f t="shared" si="13"/>
        <v>31</v>
      </c>
      <c r="H10" s="246">
        <v>144.5</v>
      </c>
      <c r="I10" s="246">
        <v>200.9</v>
      </c>
      <c r="J10" s="250"/>
      <c r="K10" s="242">
        <v>22.67</v>
      </c>
      <c r="L10" s="249"/>
      <c r="M10" s="244">
        <f t="shared" si="11"/>
        <v>3465.8564542999929</v>
      </c>
      <c r="N10" s="244">
        <v>24.303100000000001</v>
      </c>
      <c r="O10" s="252">
        <f t="shared" si="14"/>
        <v>0.70985388066492006</v>
      </c>
      <c r="P10" s="250">
        <f t="shared" si="15"/>
        <v>6.4806451612903224</v>
      </c>
      <c r="Q10" s="249">
        <f>COUNTIFS('Daily KPI'!$D:$D,D10,'Daily KPI'!$I:$I,"&gt;0")</f>
        <v>0</v>
      </c>
      <c r="R10" s="244">
        <f t="shared" si="4"/>
        <v>0</v>
      </c>
      <c r="S10" s="244">
        <f>SUMIF($F$2:F10,F10,$R$2:R10)</f>
        <v>0</v>
      </c>
      <c r="T10" s="250">
        <f t="shared" si="16"/>
        <v>111.80182110645138</v>
      </c>
      <c r="U10" s="251">
        <f t="shared" si="17"/>
        <v>0</v>
      </c>
      <c r="V10" s="244">
        <f>SUMIF($F$2:F10,F10,$U$2:U10)</f>
        <v>0</v>
      </c>
      <c r="W10" s="252">
        <f t="shared" si="18"/>
        <v>0.1916796298730947</v>
      </c>
      <c r="X10" s="252" t="str">
        <f t="shared" si="8"/>
        <v/>
      </c>
      <c r="Y10" s="252" t="str">
        <f t="shared" si="9"/>
        <v/>
      </c>
      <c r="Z10" s="250">
        <v>11.503100000000002</v>
      </c>
      <c r="AA10" s="246">
        <f>IFERROR(AVERAGEIF($F$2:F10,F10,$N$2:N10),"")</f>
        <v>24.303100000000001</v>
      </c>
      <c r="AB10" s="251"/>
      <c r="AC10" s="250"/>
      <c r="AD10" s="250"/>
      <c r="AE10" s="245">
        <v>0.995</v>
      </c>
      <c r="AF10" s="245">
        <v>0.995</v>
      </c>
      <c r="AG10" s="245"/>
      <c r="AH10" s="252"/>
      <c r="AI10" s="252"/>
      <c r="AJ10" s="252"/>
      <c r="AK10" s="252"/>
      <c r="AL10" s="252"/>
      <c r="AM10" s="247"/>
      <c r="AN10" s="247"/>
      <c r="AO10" s="247">
        <v>1660</v>
      </c>
      <c r="AP10" s="253">
        <v>1805.8564542999927</v>
      </c>
    </row>
    <row r="11" spans="1:45" x14ac:dyDescent="0.35">
      <c r="A11" s="237">
        <f t="shared" si="10"/>
        <v>10</v>
      </c>
      <c r="B11" s="238" t="s">
        <v>311</v>
      </c>
      <c r="C11" s="237">
        <v>1</v>
      </c>
      <c r="D11" s="239">
        <v>45292</v>
      </c>
      <c r="E11" s="240">
        <f t="shared" si="12"/>
        <v>2024</v>
      </c>
      <c r="F11" s="240" t="s">
        <v>267</v>
      </c>
      <c r="G11" s="241">
        <f t="shared" si="13"/>
        <v>31</v>
      </c>
      <c r="H11" s="246">
        <v>155.6</v>
      </c>
      <c r="I11" s="246">
        <v>210.5</v>
      </c>
      <c r="J11" s="243"/>
      <c r="K11" s="246">
        <v>23.04</v>
      </c>
      <c r="L11" s="241"/>
      <c r="M11" s="244">
        <f t="shared" si="11"/>
        <v>3669.8167972999918</v>
      </c>
      <c r="N11" s="244">
        <v>24.303100000000001</v>
      </c>
      <c r="O11" s="245">
        <f t="shared" si="14"/>
        <v>0.71734918645364676</v>
      </c>
      <c r="P11" s="243">
        <f t="shared" si="15"/>
        <v>6.790322580645161</v>
      </c>
      <c r="Q11" s="241">
        <f>COUNTIFS('Daily KPI'!$D:$D,D11,'Daily KPI'!$I:$I,"&gt;0")</f>
        <v>0</v>
      </c>
      <c r="R11" s="244">
        <f t="shared" si="4"/>
        <v>0</v>
      </c>
      <c r="S11" s="244">
        <f>SUMIF($F$2:F11,F11,$R$2:R11)</f>
        <v>0</v>
      </c>
      <c r="T11" s="243">
        <f t="shared" si="16"/>
        <v>118.38118700967715</v>
      </c>
      <c r="U11" s="244">
        <f t="shared" si="17"/>
        <v>0</v>
      </c>
      <c r="V11" s="244">
        <f>SUMIF($F$2:F11,F11,$U$2:U11)</f>
        <v>0</v>
      </c>
      <c r="W11" s="245">
        <f t="shared" si="18"/>
        <v>0.20295968245765139</v>
      </c>
      <c r="X11" s="245" t="str">
        <f t="shared" si="8"/>
        <v/>
      </c>
      <c r="Y11" s="245" t="str">
        <f t="shared" si="9"/>
        <v/>
      </c>
      <c r="Z11" s="243">
        <v>24.303099999999983</v>
      </c>
      <c r="AA11" s="246">
        <f>IFERROR(AVERAGEIF($F$2:F11,F11,$N$2:N11),"")</f>
        <v>24.303100000000001</v>
      </c>
      <c r="AB11" s="244"/>
      <c r="AC11" s="243"/>
      <c r="AD11" s="243"/>
      <c r="AE11" s="245">
        <v>0.995</v>
      </c>
      <c r="AF11" s="245">
        <v>0.995</v>
      </c>
      <c r="AG11" s="245"/>
      <c r="AH11" s="245"/>
      <c r="AI11" s="245"/>
      <c r="AJ11" s="245"/>
      <c r="AK11" s="245"/>
      <c r="AL11" s="245"/>
      <c r="AM11" s="247"/>
      <c r="AN11" s="247"/>
      <c r="AO11" s="247">
        <v>1730</v>
      </c>
      <c r="AP11" s="253">
        <v>1939.8167972999918</v>
      </c>
    </row>
    <row r="12" spans="1:45" x14ac:dyDescent="0.35">
      <c r="A12" s="238">
        <f t="shared" si="10"/>
        <v>11</v>
      </c>
      <c r="B12" s="238" t="s">
        <v>316</v>
      </c>
      <c r="C12" s="237">
        <v>2</v>
      </c>
      <c r="D12" s="239">
        <v>45323</v>
      </c>
      <c r="E12" s="248">
        <f t="shared" si="12"/>
        <v>2024</v>
      </c>
      <c r="F12" s="240" t="s">
        <v>267</v>
      </c>
      <c r="G12" s="249">
        <f t="shared" si="13"/>
        <v>29</v>
      </c>
      <c r="H12" s="246">
        <v>157.9</v>
      </c>
      <c r="I12" s="246">
        <v>193</v>
      </c>
      <c r="J12" s="250"/>
      <c r="K12" s="242">
        <v>25.46</v>
      </c>
      <c r="L12" s="249"/>
      <c r="M12" s="244">
        <f t="shared" si="11"/>
        <v>3412.3302503999903</v>
      </c>
      <c r="N12" s="244">
        <v>24.303100000000001</v>
      </c>
      <c r="O12" s="252">
        <f t="shared" si="14"/>
        <v>0.72749845158242354</v>
      </c>
      <c r="P12" s="250">
        <f t="shared" si="15"/>
        <v>6.6551724137931032</v>
      </c>
      <c r="Q12" s="249">
        <f>COUNTIFS('Daily KPI'!$D:$D,D12,'Daily KPI'!$I:$I,"&gt;0")</f>
        <v>0</v>
      </c>
      <c r="R12" s="244">
        <f t="shared" si="4"/>
        <v>0</v>
      </c>
      <c r="S12" s="244">
        <f>SUMIF($F$2:F12,F12,$R$2:R12)</f>
        <v>0</v>
      </c>
      <c r="T12" s="250">
        <f t="shared" si="16"/>
        <v>117.66656035862036</v>
      </c>
      <c r="U12" s="251">
        <f t="shared" si="17"/>
        <v>0</v>
      </c>
      <c r="V12" s="244">
        <f>SUMIF($F$2:F12,F12,$U$2:U12)</f>
        <v>0</v>
      </c>
      <c r="W12" s="252">
        <f t="shared" si="18"/>
        <v>0.2017344844186893</v>
      </c>
      <c r="X12" s="252" t="str">
        <f t="shared" si="8"/>
        <v/>
      </c>
      <c r="Y12" s="252" t="str">
        <f t="shared" si="9"/>
        <v/>
      </c>
      <c r="Z12" s="250">
        <v>22.996765517241368</v>
      </c>
      <c r="AA12" s="246">
        <f>IFERROR(AVERAGEIF($F$2:F12,F12,$N$2:N12),"")</f>
        <v>24.303100000000004</v>
      </c>
      <c r="AB12" s="251"/>
      <c r="AC12" s="250"/>
      <c r="AD12" s="250"/>
      <c r="AE12" s="245">
        <v>0.995</v>
      </c>
      <c r="AF12" s="245">
        <v>0.995</v>
      </c>
      <c r="AG12" s="245"/>
      <c r="AH12" s="252"/>
      <c r="AI12" s="252"/>
      <c r="AJ12" s="252"/>
      <c r="AK12" s="252"/>
      <c r="AL12" s="252"/>
      <c r="AM12" s="253"/>
      <c r="AN12" s="253"/>
      <c r="AO12" s="253">
        <v>1460</v>
      </c>
      <c r="AP12" s="253">
        <v>1952.3302503999901</v>
      </c>
    </row>
    <row r="13" spans="1:45" x14ac:dyDescent="0.35">
      <c r="A13" s="237">
        <f t="shared" si="10"/>
        <v>12</v>
      </c>
      <c r="B13" s="238" t="s">
        <v>320</v>
      </c>
      <c r="C13" s="237">
        <v>3</v>
      </c>
      <c r="D13" s="239">
        <v>45352</v>
      </c>
      <c r="E13" s="240">
        <f t="shared" si="12"/>
        <v>2024</v>
      </c>
      <c r="F13" s="240" t="s">
        <v>267</v>
      </c>
      <c r="G13" s="241">
        <f t="shared" si="13"/>
        <v>31</v>
      </c>
      <c r="H13" s="246">
        <v>197.2</v>
      </c>
      <c r="I13" s="246">
        <v>213.9</v>
      </c>
      <c r="J13" s="243"/>
      <c r="K13" s="246">
        <v>29.58</v>
      </c>
      <c r="L13" s="241"/>
      <c r="M13" s="244">
        <f t="shared" si="11"/>
        <v>3966.1271901999853</v>
      </c>
      <c r="N13" s="244">
        <v>24.303100000000001</v>
      </c>
      <c r="O13" s="245">
        <f t="shared" si="14"/>
        <v>0.76294666518444787</v>
      </c>
      <c r="P13" s="243">
        <f t="shared" si="15"/>
        <v>6.9</v>
      </c>
      <c r="Q13" s="241">
        <f>COUNTIFS('Daily KPI'!$D:$D,D13,'Daily KPI'!$I:$I,"&gt;0")</f>
        <v>0</v>
      </c>
      <c r="R13" s="244">
        <f t="shared" si="4"/>
        <v>0</v>
      </c>
      <c r="S13" s="244">
        <f>SUMIF($F$2:F13,F13,$R$2:R13)</f>
        <v>0</v>
      </c>
      <c r="T13" s="243">
        <f t="shared" si="16"/>
        <v>127.93958678064469</v>
      </c>
      <c r="U13" s="244">
        <f t="shared" si="17"/>
        <v>0</v>
      </c>
      <c r="V13" s="244">
        <f>SUMIF($F$2:F13,F13,$U$2:U13)</f>
        <v>0</v>
      </c>
      <c r="W13" s="245">
        <f t="shared" si="18"/>
        <v>0.2193471662405288</v>
      </c>
      <c r="X13" s="245" t="str">
        <f t="shared" si="8"/>
        <v/>
      </c>
      <c r="Y13" s="245" t="str">
        <f t="shared" si="9"/>
        <v/>
      </c>
      <c r="Z13" s="243">
        <v>24.303099999999983</v>
      </c>
      <c r="AA13" s="246">
        <f>IFERROR(AVERAGEIF($F$2:F13,F13,$N$2:N13),"")</f>
        <v>24.303100000000001</v>
      </c>
      <c r="AB13" s="244"/>
      <c r="AC13" s="243"/>
      <c r="AD13" s="243"/>
      <c r="AE13" s="245">
        <v>0.995</v>
      </c>
      <c r="AF13" s="245">
        <v>0.995</v>
      </c>
      <c r="AG13" s="245"/>
      <c r="AH13" s="245"/>
      <c r="AI13" s="245"/>
      <c r="AJ13" s="245"/>
      <c r="AK13" s="245"/>
      <c r="AL13" s="245"/>
      <c r="AM13" s="253"/>
      <c r="AN13" s="253"/>
      <c r="AO13" s="253">
        <v>1690</v>
      </c>
      <c r="AP13" s="253">
        <v>2276.1271901999853</v>
      </c>
    </row>
    <row r="14" spans="1:45" x14ac:dyDescent="0.35">
      <c r="A14" s="238">
        <f t="shared" si="10"/>
        <v>13</v>
      </c>
      <c r="B14" s="238" t="str">
        <f>B2</f>
        <v>April</v>
      </c>
      <c r="C14" s="238">
        <f>C2</f>
        <v>4</v>
      </c>
      <c r="D14" s="239">
        <v>45383</v>
      </c>
      <c r="E14" s="248">
        <f>YEAR(D14)</f>
        <v>2024</v>
      </c>
      <c r="F14" s="240" t="s">
        <v>324</v>
      </c>
      <c r="G14" s="249">
        <f>DAY(EOMONTH(D14,0))</f>
        <v>30</v>
      </c>
      <c r="H14" s="246">
        <f>H2</f>
        <v>197.1</v>
      </c>
      <c r="I14" s="246">
        <f>I2</f>
        <v>198.7</v>
      </c>
      <c r="J14" s="250"/>
      <c r="K14" s="242">
        <f>K2</f>
        <v>31.76</v>
      </c>
      <c r="L14" s="249"/>
      <c r="M14" s="244">
        <f t="shared" si="11"/>
        <v>2605.2205557784978</v>
      </c>
      <c r="N14" s="244">
        <v>24.303100000000001</v>
      </c>
      <c r="O14" s="252">
        <f t="shared" si="14"/>
        <v>0.5394919331482696</v>
      </c>
      <c r="P14" s="250">
        <f t="shared" si="15"/>
        <v>6.6233333333333331</v>
      </c>
      <c r="Q14" s="249">
        <f>COUNTIFS('Daily KPI'!$D:$D,D14,'Daily KPI'!$I:$I,"&gt;0")</f>
        <v>0</v>
      </c>
      <c r="R14" s="244">
        <f t="shared" si="4"/>
        <v>0</v>
      </c>
      <c r="S14" s="244">
        <f>SUMIF($F$2:F14,F14,$R$2:R14)</f>
        <v>0</v>
      </c>
      <c r="T14" s="250">
        <f t="shared" si="16"/>
        <v>86.84068519261659</v>
      </c>
      <c r="U14" s="251">
        <f t="shared" si="17"/>
        <v>0</v>
      </c>
      <c r="V14" s="244">
        <f>SUMIF($F$2:F14,F14,$U$2:U14)</f>
        <v>0</v>
      </c>
      <c r="W14" s="252">
        <f t="shared" si="18"/>
        <v>0.14888478766189051</v>
      </c>
      <c r="X14" s="252" t="str">
        <f t="shared" si="8"/>
        <v/>
      </c>
      <c r="Y14" s="252" t="str">
        <f t="shared" si="9"/>
        <v/>
      </c>
      <c r="Z14" s="250">
        <v>24.303099999999983</v>
      </c>
      <c r="AA14" s="246">
        <f>IFERROR(AVERAGEIF($F$2:F14,F14,$N$2:N14),"")</f>
        <v>24.303100000000001</v>
      </c>
      <c r="AB14" s="251"/>
      <c r="AC14" s="250"/>
      <c r="AD14" s="250"/>
      <c r="AE14" s="245">
        <v>0.995</v>
      </c>
      <c r="AF14" s="245">
        <v>0.995</v>
      </c>
      <c r="AG14" s="245"/>
      <c r="AH14" s="252"/>
      <c r="AI14" s="252"/>
      <c r="AJ14" s="252"/>
      <c r="AK14" s="252"/>
      <c r="AL14" s="252"/>
      <c r="AM14" s="253"/>
      <c r="AN14" s="253"/>
      <c r="AO14" s="253">
        <v>1529.1</v>
      </c>
      <c r="AP14" s="253">
        <v>1076.1205557784979</v>
      </c>
    </row>
    <row r="15" spans="1:45" x14ac:dyDescent="0.35">
      <c r="A15" s="237">
        <f t="shared" si="10"/>
        <v>14</v>
      </c>
      <c r="B15" s="238" t="str">
        <f t="shared" ref="B15:C25" si="19">B3</f>
        <v>May</v>
      </c>
      <c r="C15" s="238">
        <f t="shared" si="19"/>
        <v>5</v>
      </c>
      <c r="D15" s="239">
        <v>45413</v>
      </c>
      <c r="E15" s="240">
        <f>YEAR(D15)</f>
        <v>2024</v>
      </c>
      <c r="F15" s="240" t="s">
        <v>324</v>
      </c>
      <c r="G15" s="241">
        <f>DAY(EOMONTH(D15,0))</f>
        <v>31</v>
      </c>
      <c r="H15" s="246">
        <f t="shared" ref="H15:H37" si="20">H3</f>
        <v>204.3</v>
      </c>
      <c r="I15" s="246">
        <f t="shared" ref="I15:I37" si="21">I3</f>
        <v>202.4</v>
      </c>
      <c r="J15" s="243"/>
      <c r="K15" s="242">
        <f t="shared" ref="K15:K37" si="22">K3</f>
        <v>30.53</v>
      </c>
      <c r="L15" s="241"/>
      <c r="M15" s="244">
        <f t="shared" si="11"/>
        <v>3808.5051500540003</v>
      </c>
      <c r="N15" s="244">
        <v>24.303100000000001</v>
      </c>
      <c r="O15" s="245">
        <f t="shared" si="14"/>
        <v>0.77425205219391402</v>
      </c>
      <c r="P15" s="243">
        <f t="shared" si="15"/>
        <v>6.5290322580645164</v>
      </c>
      <c r="Q15" s="241">
        <f>COUNTIFS('Daily KPI'!$D:$D,D15,'Daily KPI'!$I:$I,"&gt;0")</f>
        <v>0</v>
      </c>
      <c r="R15" s="244">
        <f t="shared" si="4"/>
        <v>0</v>
      </c>
      <c r="S15" s="244">
        <f>SUMIF($F$2:F15,F15,$R$2:R15)</f>
        <v>0</v>
      </c>
      <c r="T15" s="243">
        <f t="shared" si="16"/>
        <v>122.85500484045163</v>
      </c>
      <c r="U15" s="244">
        <f t="shared" si="17"/>
        <v>0</v>
      </c>
      <c r="V15" s="244">
        <f>SUMIF($F$2:F15,F15,$U$2:U15)</f>
        <v>0</v>
      </c>
      <c r="W15" s="245">
        <f t="shared" si="18"/>
        <v>0.21062985936027986</v>
      </c>
      <c r="X15" s="245" t="str">
        <f t="shared" si="8"/>
        <v/>
      </c>
      <c r="Y15" s="245" t="str">
        <f t="shared" si="9"/>
        <v/>
      </c>
      <c r="Z15" s="243">
        <v>24.303099999999983</v>
      </c>
      <c r="AA15" s="246">
        <f>IFERROR(AVERAGEIF($F$2:F15,F15,$N$2:N15),"")</f>
        <v>24.303100000000001</v>
      </c>
      <c r="AB15" s="244"/>
      <c r="AC15" s="243"/>
      <c r="AD15" s="243"/>
      <c r="AE15" s="245">
        <v>0.995</v>
      </c>
      <c r="AF15" s="245">
        <v>0.995</v>
      </c>
      <c r="AG15" s="245"/>
      <c r="AH15" s="245"/>
      <c r="AI15" s="245"/>
      <c r="AJ15" s="245"/>
      <c r="AK15" s="245"/>
      <c r="AL15" s="245"/>
      <c r="AM15" s="253"/>
      <c r="AN15" s="253"/>
      <c r="AO15" s="253">
        <v>1573.6000000000001</v>
      </c>
      <c r="AP15" s="253">
        <v>2234.9051500539999</v>
      </c>
    </row>
    <row r="16" spans="1:45" x14ac:dyDescent="0.35">
      <c r="A16" s="237">
        <f t="shared" si="10"/>
        <v>15</v>
      </c>
      <c r="B16" s="238" t="str">
        <f t="shared" si="19"/>
        <v>June</v>
      </c>
      <c r="C16" s="238">
        <f t="shared" si="19"/>
        <v>6</v>
      </c>
      <c r="D16" s="239">
        <v>45444</v>
      </c>
      <c r="E16" s="240">
        <f t="shared" ref="E16:E25" si="23">YEAR(D16)</f>
        <v>2024</v>
      </c>
      <c r="F16" s="240" t="s">
        <v>324</v>
      </c>
      <c r="G16" s="241">
        <f t="shared" ref="G16:G25" si="24">DAY(EOMONTH(D16,0))</f>
        <v>30</v>
      </c>
      <c r="H16" s="246">
        <f t="shared" si="20"/>
        <v>156</v>
      </c>
      <c r="I16" s="246">
        <f t="shared" si="21"/>
        <v>153.69999999999999</v>
      </c>
      <c r="J16" s="243"/>
      <c r="K16" s="242">
        <f t="shared" si="22"/>
        <v>26.96</v>
      </c>
      <c r="L16" s="241"/>
      <c r="M16" s="244">
        <f t="shared" si="11"/>
        <v>2765.4051193114274</v>
      </c>
      <c r="N16" s="244">
        <v>24.303100000000001</v>
      </c>
      <c r="O16" s="245">
        <f t="shared" si="14"/>
        <v>0.74032637359513365</v>
      </c>
      <c r="P16" s="243">
        <f t="shared" si="15"/>
        <v>5.1233333333333331</v>
      </c>
      <c r="Q16" s="241">
        <f>COUNTIFS('Daily KPI'!$D:$D,D16,'Daily KPI'!$I:$I,"&gt;0")</f>
        <v>0</v>
      </c>
      <c r="R16" s="244">
        <f t="shared" si="4"/>
        <v>0</v>
      </c>
      <c r="S16" s="244">
        <f>SUMIF($F$2:F16,F16,$R$2:R16)</f>
        <v>0</v>
      </c>
      <c r="T16" s="243">
        <f t="shared" si="16"/>
        <v>92.180170643714249</v>
      </c>
      <c r="U16" s="244">
        <f t="shared" si="17"/>
        <v>0</v>
      </c>
      <c r="V16" s="244">
        <f>SUMIF($F$2:F16,F16,$U$2:U16)</f>
        <v>0</v>
      </c>
      <c r="W16" s="245">
        <f t="shared" si="18"/>
        <v>0.15803911614107227</v>
      </c>
      <c r="X16" s="245" t="str">
        <f t="shared" si="8"/>
        <v/>
      </c>
      <c r="Y16" s="245" t="str">
        <f t="shared" si="9"/>
        <v/>
      </c>
      <c r="Z16" s="243">
        <v>24.303099999999983</v>
      </c>
      <c r="AA16" s="246">
        <f>IFERROR(AVERAGEIF($F$2:F16,F16,$N$2:N16),"")</f>
        <v>24.303100000000001</v>
      </c>
      <c r="AB16" s="244"/>
      <c r="AC16" s="243"/>
      <c r="AD16" s="243"/>
      <c r="AE16" s="245">
        <v>0.995</v>
      </c>
      <c r="AF16" s="245">
        <v>0.995</v>
      </c>
      <c r="AG16" s="245"/>
      <c r="AH16" s="245"/>
      <c r="AI16" s="245"/>
      <c r="AJ16" s="245"/>
      <c r="AK16" s="245"/>
      <c r="AL16" s="245"/>
      <c r="AM16" s="253"/>
      <c r="AN16" s="253"/>
      <c r="AO16" s="253">
        <v>1236.3</v>
      </c>
      <c r="AP16" s="253">
        <v>1529.1051193114272</v>
      </c>
    </row>
    <row r="17" spans="1:42" x14ac:dyDescent="0.35">
      <c r="A17" s="237">
        <f t="shared" si="10"/>
        <v>16</v>
      </c>
      <c r="B17" s="238" t="str">
        <f t="shared" si="19"/>
        <v>July</v>
      </c>
      <c r="C17" s="238">
        <f t="shared" si="19"/>
        <v>7</v>
      </c>
      <c r="D17" s="239">
        <v>45474</v>
      </c>
      <c r="E17" s="240">
        <f t="shared" si="23"/>
        <v>2024</v>
      </c>
      <c r="F17" s="240" t="s">
        <v>324</v>
      </c>
      <c r="G17" s="241">
        <f t="shared" si="24"/>
        <v>31</v>
      </c>
      <c r="H17" s="246">
        <f t="shared" si="20"/>
        <v>138</v>
      </c>
      <c r="I17" s="246">
        <f t="shared" si="21"/>
        <v>136.6</v>
      </c>
      <c r="J17" s="243"/>
      <c r="K17" s="242">
        <f t="shared" si="22"/>
        <v>25.04</v>
      </c>
      <c r="L17" s="241"/>
      <c r="M17" s="244">
        <f t="shared" si="11"/>
        <v>2424.5807545687867</v>
      </c>
      <c r="N17" s="244">
        <v>24.303100000000001</v>
      </c>
      <c r="O17" s="245">
        <f t="shared" si="14"/>
        <v>0.73033864317039632</v>
      </c>
      <c r="P17" s="243">
        <f t="shared" si="15"/>
        <v>4.4064516129032256</v>
      </c>
      <c r="Q17" s="241">
        <f>COUNTIFS('Daily KPI'!$D:$D,D17,'Daily KPI'!$I:$I,"&gt;0")</f>
        <v>0</v>
      </c>
      <c r="R17" s="244">
        <f t="shared" si="4"/>
        <v>0</v>
      </c>
      <c r="S17" s="244">
        <f>SUMIF($F$2:F17,F17,$R$2:R17)</f>
        <v>0</v>
      </c>
      <c r="T17" s="243">
        <f t="shared" si="16"/>
        <v>78.212282405444725</v>
      </c>
      <c r="U17" s="244">
        <f t="shared" si="17"/>
        <v>0</v>
      </c>
      <c r="V17" s="244">
        <f>SUMIF($F$2:F17,F17,$U$2:U17)</f>
        <v>0</v>
      </c>
      <c r="W17" s="245">
        <f t="shared" si="18"/>
        <v>0.13409174550682273</v>
      </c>
      <c r="X17" s="245" t="str">
        <f t="shared" si="8"/>
        <v/>
      </c>
      <c r="Y17" s="245" t="str">
        <f t="shared" si="9"/>
        <v/>
      </c>
      <c r="Z17" s="243">
        <v>24.303099999999983</v>
      </c>
      <c r="AA17" s="246">
        <f>IFERROR(AVERAGEIF($F$2:F17,F17,$N$2:N17),"")</f>
        <v>24.303100000000001</v>
      </c>
      <c r="AB17" s="244"/>
      <c r="AC17" s="243"/>
      <c r="AD17" s="243"/>
      <c r="AE17" s="245">
        <v>0.995</v>
      </c>
      <c r="AF17" s="245">
        <v>0.995</v>
      </c>
      <c r="AG17" s="245"/>
      <c r="AH17" s="245"/>
      <c r="AI17" s="245"/>
      <c r="AJ17" s="245"/>
      <c r="AK17" s="245"/>
      <c r="AL17" s="245"/>
      <c r="AM17" s="253"/>
      <c r="AN17" s="253"/>
      <c r="AO17" s="253">
        <v>1124.2</v>
      </c>
      <c r="AP17" s="253">
        <v>1300.3807545687864</v>
      </c>
    </row>
    <row r="18" spans="1:42" x14ac:dyDescent="0.35">
      <c r="A18" s="237">
        <f t="shared" si="10"/>
        <v>17</v>
      </c>
      <c r="B18" s="238" t="str">
        <f t="shared" si="19"/>
        <v>August</v>
      </c>
      <c r="C18" s="238">
        <f t="shared" si="19"/>
        <v>8</v>
      </c>
      <c r="D18" s="239">
        <v>45505</v>
      </c>
      <c r="E18" s="240">
        <f t="shared" si="23"/>
        <v>2024</v>
      </c>
      <c r="F18" s="240" t="s">
        <v>324</v>
      </c>
      <c r="G18" s="241">
        <f t="shared" si="24"/>
        <v>31</v>
      </c>
      <c r="H18" s="246">
        <f t="shared" si="20"/>
        <v>129.30000000000001</v>
      </c>
      <c r="I18" s="246">
        <f t="shared" si="21"/>
        <v>129.4</v>
      </c>
      <c r="J18" s="243"/>
      <c r="K18" s="242">
        <f t="shared" si="22"/>
        <v>24.6</v>
      </c>
      <c r="L18" s="241"/>
      <c r="M18" s="244">
        <f t="shared" si="11"/>
        <v>2422.2312478976301</v>
      </c>
      <c r="N18" s="244">
        <v>24.303100000000001</v>
      </c>
      <c r="O18" s="245">
        <f t="shared" si="14"/>
        <v>0.77022862034615736</v>
      </c>
      <c r="P18" s="243">
        <f t="shared" si="15"/>
        <v>4.1741935483870973</v>
      </c>
      <c r="Q18" s="241">
        <f>COUNTIFS('Daily KPI'!$D:$D,D18,'Daily KPI'!$I:$I,"&gt;0")</f>
        <v>0</v>
      </c>
      <c r="R18" s="244">
        <f t="shared" si="4"/>
        <v>0</v>
      </c>
      <c r="S18" s="244">
        <f>SUMIF($F$2:F18,F18,$R$2:R18)</f>
        <v>0</v>
      </c>
      <c r="T18" s="243">
        <f t="shared" si="16"/>
        <v>78.136491867665484</v>
      </c>
      <c r="U18" s="244">
        <f t="shared" si="17"/>
        <v>0</v>
      </c>
      <c r="V18" s="244">
        <f>SUMIF($F$2:F18,F18,$U$2:U18)</f>
        <v>0</v>
      </c>
      <c r="W18" s="245">
        <f t="shared" si="18"/>
        <v>0.13396180574300104</v>
      </c>
      <c r="X18" s="245" t="str">
        <f t="shared" si="8"/>
        <v/>
      </c>
      <c r="Y18" s="245" t="str">
        <f t="shared" si="9"/>
        <v/>
      </c>
      <c r="Z18" s="243">
        <v>24.303099999999983</v>
      </c>
      <c r="AA18" s="246">
        <f>IFERROR(AVERAGEIF($F$2:F18,F18,$N$2:N18),"")</f>
        <v>24.303100000000001</v>
      </c>
      <c r="AB18" s="244"/>
      <c r="AC18" s="243"/>
      <c r="AD18" s="243"/>
      <c r="AE18" s="245">
        <v>0.995</v>
      </c>
      <c r="AF18" s="245">
        <v>0.995</v>
      </c>
      <c r="AG18" s="245"/>
      <c r="AH18" s="245"/>
      <c r="AI18" s="245"/>
      <c r="AJ18" s="245"/>
      <c r="AK18" s="245"/>
      <c r="AL18" s="245"/>
      <c r="AM18" s="253"/>
      <c r="AN18" s="253"/>
      <c r="AO18" s="253">
        <v>1062.2</v>
      </c>
      <c r="AP18" s="253">
        <v>1360.0312478976298</v>
      </c>
    </row>
    <row r="19" spans="1:42" x14ac:dyDescent="0.35">
      <c r="A19" s="237">
        <f t="shared" si="10"/>
        <v>18</v>
      </c>
      <c r="B19" s="238" t="str">
        <f t="shared" si="19"/>
        <v>September</v>
      </c>
      <c r="C19" s="238">
        <f t="shared" si="19"/>
        <v>9</v>
      </c>
      <c r="D19" s="239">
        <v>45536</v>
      </c>
      <c r="E19" s="240">
        <f t="shared" si="23"/>
        <v>2024</v>
      </c>
      <c r="F19" s="240" t="s">
        <v>324</v>
      </c>
      <c r="G19" s="241">
        <f t="shared" si="24"/>
        <v>30</v>
      </c>
      <c r="H19" s="246">
        <f t="shared" si="20"/>
        <v>145.19999999999999</v>
      </c>
      <c r="I19" s="246">
        <f t="shared" si="21"/>
        <v>148</v>
      </c>
      <c r="J19" s="243"/>
      <c r="K19" s="242">
        <f t="shared" si="22"/>
        <v>25.31</v>
      </c>
      <c r="L19" s="241"/>
      <c r="M19" s="244">
        <f t="shared" si="11"/>
        <v>2662.1507723633322</v>
      </c>
      <c r="N19" s="244">
        <v>24.303100000000001</v>
      </c>
      <c r="O19" s="245">
        <f t="shared" si="14"/>
        <v>0.74013213206015538</v>
      </c>
      <c r="P19" s="243">
        <f t="shared" si="15"/>
        <v>4.9333333333333336</v>
      </c>
      <c r="Q19" s="241">
        <f>COUNTIFS('Daily KPI'!$D:$D,D19,'Daily KPI'!$I:$I,"&gt;0")</f>
        <v>0</v>
      </c>
      <c r="R19" s="244">
        <f t="shared" si="4"/>
        <v>0</v>
      </c>
      <c r="S19" s="244">
        <f>SUMIF($F$2:F19,F19,$R$2:R19)</f>
        <v>0</v>
      </c>
      <c r="T19" s="243">
        <f t="shared" si="16"/>
        <v>88.738359078777734</v>
      </c>
      <c r="U19" s="244">
        <f t="shared" si="17"/>
        <v>0</v>
      </c>
      <c r="V19" s="244">
        <f>SUMIF($F$2:F19,F19,$U$2:U19)</f>
        <v>0</v>
      </c>
      <c r="W19" s="245">
        <f t="shared" si="18"/>
        <v>0.15213827159014304</v>
      </c>
      <c r="X19" s="245" t="str">
        <f t="shared" si="8"/>
        <v/>
      </c>
      <c r="Y19" s="245" t="str">
        <f t="shared" si="9"/>
        <v/>
      </c>
      <c r="Z19" s="243">
        <v>24.303099999999983</v>
      </c>
      <c r="AA19" s="246">
        <f>IFERROR(AVERAGEIF($F$2:F19,F19,$N$2:N19),"")</f>
        <v>24.303100000000001</v>
      </c>
      <c r="AB19" s="244"/>
      <c r="AC19" s="243"/>
      <c r="AD19" s="243"/>
      <c r="AE19" s="245">
        <v>0.995</v>
      </c>
      <c r="AF19" s="245">
        <v>0.995</v>
      </c>
      <c r="AG19" s="245"/>
      <c r="AH19" s="245"/>
      <c r="AI19" s="245"/>
      <c r="AJ19" s="245"/>
      <c r="AK19" s="245"/>
      <c r="AL19" s="245"/>
      <c r="AM19" s="253"/>
      <c r="AN19" s="253"/>
      <c r="AO19" s="253">
        <v>1203.5999999999999</v>
      </c>
      <c r="AP19" s="253">
        <v>1458.5507723633323</v>
      </c>
    </row>
    <row r="20" spans="1:42" x14ac:dyDescent="0.35">
      <c r="A20" s="237">
        <f t="shared" si="10"/>
        <v>19</v>
      </c>
      <c r="B20" s="238" t="str">
        <f t="shared" si="19"/>
        <v>October</v>
      </c>
      <c r="C20" s="238">
        <f t="shared" si="19"/>
        <v>10</v>
      </c>
      <c r="D20" s="239">
        <v>45566</v>
      </c>
      <c r="E20" s="240">
        <f t="shared" si="23"/>
        <v>2024</v>
      </c>
      <c r="F20" s="240" t="s">
        <v>324</v>
      </c>
      <c r="G20" s="241">
        <f t="shared" si="24"/>
        <v>31</v>
      </c>
      <c r="H20" s="246">
        <f t="shared" si="20"/>
        <v>160</v>
      </c>
      <c r="I20" s="246">
        <f t="shared" si="21"/>
        <v>187.1</v>
      </c>
      <c r="J20" s="243"/>
      <c r="K20" s="242">
        <f t="shared" si="22"/>
        <v>26.6</v>
      </c>
      <c r="L20" s="241"/>
      <c r="M20" s="244">
        <f t="shared" si="11"/>
        <v>3354.272091415171</v>
      </c>
      <c r="N20" s="244">
        <v>24.303100000000001</v>
      </c>
      <c r="O20" s="245">
        <f t="shared" si="14"/>
        <v>0.73767119863791697</v>
      </c>
      <c r="P20" s="243">
        <f t="shared" si="15"/>
        <v>6.0354838709677416</v>
      </c>
      <c r="Q20" s="241">
        <f>COUNTIFS('Daily KPI'!$D:$D,D20,'Daily KPI'!$I:$I,"&gt;0")</f>
        <v>0</v>
      </c>
      <c r="R20" s="244">
        <f t="shared" si="4"/>
        <v>0</v>
      </c>
      <c r="S20" s="244">
        <f>SUMIF($F$2:F20,F20,$R$2:R20)</f>
        <v>0</v>
      </c>
      <c r="T20" s="243">
        <f t="shared" si="16"/>
        <v>108.20232552952164</v>
      </c>
      <c r="U20" s="244">
        <f t="shared" si="17"/>
        <v>0</v>
      </c>
      <c r="V20" s="244">
        <f>SUMIF($F$2:F20,F20,$U$2:U20)</f>
        <v>0</v>
      </c>
      <c r="W20" s="245">
        <f t="shared" si="18"/>
        <v>0.18550844256069124</v>
      </c>
      <c r="X20" s="245" t="str">
        <f t="shared" si="8"/>
        <v/>
      </c>
      <c r="Y20" s="245" t="str">
        <f t="shared" si="9"/>
        <v/>
      </c>
      <c r="Z20" s="243">
        <v>24.303099999999983</v>
      </c>
      <c r="AA20" s="246">
        <f>IFERROR(AVERAGEIF($F$2:F20,F20,$N$2:N20),"")</f>
        <v>24.303100000000001</v>
      </c>
      <c r="AB20" s="244"/>
      <c r="AC20" s="243"/>
      <c r="AD20" s="243"/>
      <c r="AE20" s="245">
        <v>0.995</v>
      </c>
      <c r="AF20" s="245">
        <v>0.995</v>
      </c>
      <c r="AG20" s="245"/>
      <c r="AH20" s="245"/>
      <c r="AI20" s="245"/>
      <c r="AJ20" s="245"/>
      <c r="AK20" s="245"/>
      <c r="AL20" s="245"/>
      <c r="AM20" s="253"/>
      <c r="AN20" s="253"/>
      <c r="AO20" s="253">
        <v>1489.2</v>
      </c>
      <c r="AP20" s="253">
        <v>1865.0720914151709</v>
      </c>
    </row>
    <row r="21" spans="1:42" x14ac:dyDescent="0.35">
      <c r="A21" s="237">
        <f t="shared" si="10"/>
        <v>20</v>
      </c>
      <c r="B21" s="238" t="str">
        <f t="shared" si="19"/>
        <v>November</v>
      </c>
      <c r="C21" s="238">
        <f t="shared" si="19"/>
        <v>11</v>
      </c>
      <c r="D21" s="239">
        <v>45597</v>
      </c>
      <c r="E21" s="240">
        <f t="shared" si="23"/>
        <v>2024</v>
      </c>
      <c r="F21" s="240" t="s">
        <v>324</v>
      </c>
      <c r="G21" s="241">
        <f t="shared" si="24"/>
        <v>30</v>
      </c>
      <c r="H21" s="246">
        <f t="shared" si="20"/>
        <v>147.9</v>
      </c>
      <c r="I21" s="246">
        <f t="shared" si="21"/>
        <v>192.4</v>
      </c>
      <c r="J21" s="243"/>
      <c r="K21" s="242">
        <f t="shared" si="22"/>
        <v>24.86</v>
      </c>
      <c r="L21" s="241"/>
      <c r="M21" s="244">
        <f t="shared" si="11"/>
        <v>3334.8428629467735</v>
      </c>
      <c r="N21" s="244">
        <v>24.303100000000001</v>
      </c>
      <c r="O21" s="245">
        <f t="shared" si="14"/>
        <v>0.71319556406503559</v>
      </c>
      <c r="P21" s="243">
        <f t="shared" si="15"/>
        <v>6.4133333333333331</v>
      </c>
      <c r="Q21" s="241">
        <f>COUNTIFS('Daily KPI'!$D:$D,D21,'Daily KPI'!$I:$I,"&gt;0")</f>
        <v>0</v>
      </c>
      <c r="R21" s="244">
        <f t="shared" si="4"/>
        <v>0</v>
      </c>
      <c r="S21" s="244">
        <f>SUMIF($F$2:F21,F21,$R$2:R21)</f>
        <v>0</v>
      </c>
      <c r="T21" s="243">
        <f t="shared" si="16"/>
        <v>111.16142876489245</v>
      </c>
      <c r="U21" s="244">
        <f t="shared" si="17"/>
        <v>0</v>
      </c>
      <c r="V21" s="244">
        <f>SUMIF($F$2:F21,F21,$U$2:U21)</f>
        <v>0</v>
      </c>
      <c r="W21" s="245">
        <f t="shared" si="18"/>
        <v>0.19058170350849007</v>
      </c>
      <c r="X21" s="245" t="str">
        <f t="shared" si="8"/>
        <v/>
      </c>
      <c r="Y21" s="245" t="str">
        <f t="shared" si="9"/>
        <v/>
      </c>
      <c r="Z21" s="243">
        <v>24.303099999999983</v>
      </c>
      <c r="AA21" s="246">
        <f>IFERROR(AVERAGEIF($F$2:F21,F21,$N$2:N21),"")</f>
        <v>24.303100000000001</v>
      </c>
      <c r="AB21" s="244"/>
      <c r="AC21" s="243"/>
      <c r="AD21" s="243"/>
      <c r="AE21" s="245">
        <v>0.995</v>
      </c>
      <c r="AF21" s="245">
        <v>0.995</v>
      </c>
      <c r="AG21" s="245"/>
      <c r="AH21" s="245"/>
      <c r="AI21" s="245"/>
      <c r="AJ21" s="245"/>
      <c r="AK21" s="245"/>
      <c r="AL21" s="245"/>
      <c r="AM21" s="253"/>
      <c r="AN21" s="253"/>
      <c r="AO21" s="253">
        <v>1532.5</v>
      </c>
      <c r="AP21" s="253">
        <v>1802.3428629467737</v>
      </c>
    </row>
    <row r="22" spans="1:42" x14ac:dyDescent="0.35">
      <c r="A22" s="237">
        <f t="shared" si="10"/>
        <v>21</v>
      </c>
      <c r="B22" s="238" t="str">
        <f t="shared" si="19"/>
        <v>December</v>
      </c>
      <c r="C22" s="238">
        <f t="shared" si="19"/>
        <v>12</v>
      </c>
      <c r="D22" s="239">
        <v>45627</v>
      </c>
      <c r="E22" s="240">
        <f t="shared" si="23"/>
        <v>2024</v>
      </c>
      <c r="F22" s="240" t="s">
        <v>324</v>
      </c>
      <c r="G22" s="241">
        <f t="shared" si="24"/>
        <v>31</v>
      </c>
      <c r="H22" s="246">
        <f t="shared" si="20"/>
        <v>144.5</v>
      </c>
      <c r="I22" s="246">
        <f t="shared" si="21"/>
        <v>200.9</v>
      </c>
      <c r="J22" s="243"/>
      <c r="K22" s="242">
        <f t="shared" si="22"/>
        <v>22.67</v>
      </c>
      <c r="L22" s="241"/>
      <c r="M22" s="244">
        <f t="shared" si="11"/>
        <v>3421.0704650494899</v>
      </c>
      <c r="N22" s="244">
        <v>24.303100000000001</v>
      </c>
      <c r="O22" s="245">
        <f t="shared" si="14"/>
        <v>0.70068110946447293</v>
      </c>
      <c r="P22" s="243">
        <f t="shared" si="15"/>
        <v>6.4806451612903224</v>
      </c>
      <c r="Q22" s="241">
        <f>COUNTIFS('Daily KPI'!$D:$D,D22,'Daily KPI'!$I:$I,"&gt;0")</f>
        <v>0</v>
      </c>
      <c r="R22" s="244">
        <f t="shared" si="4"/>
        <v>0</v>
      </c>
      <c r="S22" s="244">
        <f>SUMIF($F$2:F22,F22,$R$2:R22)</f>
        <v>0</v>
      </c>
      <c r="T22" s="243">
        <f t="shared" si="16"/>
        <v>110.35711177579</v>
      </c>
      <c r="U22" s="244">
        <f t="shared" si="17"/>
        <v>0</v>
      </c>
      <c r="V22" s="244">
        <f>SUMIF($F$2:F22,F22,$U$2:U22)</f>
        <v>0</v>
      </c>
      <c r="W22" s="245">
        <f t="shared" si="18"/>
        <v>0.18920273506910298</v>
      </c>
      <c r="X22" s="245" t="str">
        <f t="shared" si="8"/>
        <v/>
      </c>
      <c r="Y22" s="245" t="str">
        <f t="shared" si="9"/>
        <v/>
      </c>
      <c r="Z22" s="243">
        <v>24.303099999999983</v>
      </c>
      <c r="AA22" s="246">
        <f>IFERROR(AVERAGEIF($F$2:F22,F22,$N$2:N22),"")</f>
        <v>24.303100000000001</v>
      </c>
      <c r="AB22" s="244"/>
      <c r="AC22" s="243"/>
      <c r="AD22" s="243"/>
      <c r="AE22" s="245">
        <v>0.995</v>
      </c>
      <c r="AF22" s="245">
        <v>0.995</v>
      </c>
      <c r="AG22" s="245"/>
      <c r="AH22" s="245"/>
      <c r="AI22" s="245"/>
      <c r="AJ22" s="245"/>
      <c r="AK22" s="245"/>
      <c r="AL22" s="245"/>
      <c r="AM22" s="253"/>
      <c r="AN22" s="253"/>
      <c r="AO22" s="253">
        <v>1618.3000000000002</v>
      </c>
      <c r="AP22" s="253">
        <v>1802.7704650494898</v>
      </c>
    </row>
    <row r="23" spans="1:42" x14ac:dyDescent="0.35">
      <c r="A23" s="237">
        <f t="shared" si="10"/>
        <v>22</v>
      </c>
      <c r="B23" s="238" t="str">
        <f t="shared" si="19"/>
        <v>January</v>
      </c>
      <c r="C23" s="238">
        <f t="shared" si="19"/>
        <v>1</v>
      </c>
      <c r="D23" s="239">
        <v>45658</v>
      </c>
      <c r="E23" s="240">
        <f t="shared" si="23"/>
        <v>2025</v>
      </c>
      <c r="F23" s="240" t="s">
        <v>324</v>
      </c>
      <c r="G23" s="241">
        <f t="shared" si="24"/>
        <v>31</v>
      </c>
      <c r="H23" s="246">
        <f t="shared" si="20"/>
        <v>155.6</v>
      </c>
      <c r="I23" s="246">
        <f t="shared" si="21"/>
        <v>210.5</v>
      </c>
      <c r="J23" s="243"/>
      <c r="K23" s="242">
        <f t="shared" si="22"/>
        <v>23.04</v>
      </c>
      <c r="L23" s="241"/>
      <c r="M23" s="244">
        <f t="shared" si="11"/>
        <v>3585.4975871397628</v>
      </c>
      <c r="N23" s="244">
        <v>24.303100000000001</v>
      </c>
      <c r="O23" s="245">
        <f t="shared" si="14"/>
        <v>0.70086707844886675</v>
      </c>
      <c r="P23" s="243">
        <f t="shared" si="15"/>
        <v>6.790322580645161</v>
      </c>
      <c r="Q23" s="241">
        <f>COUNTIFS('Daily KPI'!$D:$D,D23,'Daily KPI'!$I:$I,"&gt;0")</f>
        <v>0</v>
      </c>
      <c r="R23" s="244">
        <f t="shared" si="4"/>
        <v>0</v>
      </c>
      <c r="S23" s="244">
        <f>SUMIF($F$2:F23,F23,$R$2:R23)</f>
        <v>0</v>
      </c>
      <c r="T23" s="243">
        <f t="shared" si="16"/>
        <v>115.66121248837945</v>
      </c>
      <c r="U23" s="244">
        <f t="shared" si="17"/>
        <v>0</v>
      </c>
      <c r="V23" s="244">
        <f>SUMIF($F$2:F23,F23,$U$2:U23)</f>
        <v>0</v>
      </c>
      <c r="W23" s="245">
        <f t="shared" si="18"/>
        <v>0.19829639786758932</v>
      </c>
      <c r="X23" s="245" t="str">
        <f t="shared" si="8"/>
        <v/>
      </c>
      <c r="Y23" s="245" t="str">
        <f t="shared" si="9"/>
        <v/>
      </c>
      <c r="Z23" s="243">
        <v>24.303099999999983</v>
      </c>
      <c r="AA23" s="246">
        <f>IFERROR(AVERAGEIF($F$2:F23,F23,$N$2:N23),"")</f>
        <v>24.303100000000001</v>
      </c>
      <c r="AB23" s="244"/>
      <c r="AC23" s="243"/>
      <c r="AD23" s="243"/>
      <c r="AE23" s="245">
        <v>0.995</v>
      </c>
      <c r="AF23" s="245">
        <v>0.995</v>
      </c>
      <c r="AG23" s="245"/>
      <c r="AH23" s="245"/>
      <c r="AI23" s="245"/>
      <c r="AJ23" s="245"/>
      <c r="AK23" s="245"/>
      <c r="AL23" s="245"/>
      <c r="AM23" s="253"/>
      <c r="AN23" s="253"/>
      <c r="AO23" s="253">
        <v>1682</v>
      </c>
      <c r="AP23" s="253">
        <v>1903.4975871397628</v>
      </c>
    </row>
    <row r="24" spans="1:42" x14ac:dyDescent="0.35">
      <c r="A24" s="237">
        <f t="shared" si="10"/>
        <v>23</v>
      </c>
      <c r="B24" s="238" t="str">
        <f t="shared" si="19"/>
        <v>February</v>
      </c>
      <c r="C24" s="238">
        <f t="shared" si="19"/>
        <v>2</v>
      </c>
      <c r="D24" s="239">
        <v>45689</v>
      </c>
      <c r="E24" s="240">
        <f t="shared" si="23"/>
        <v>2025</v>
      </c>
      <c r="F24" s="240" t="s">
        <v>324</v>
      </c>
      <c r="G24" s="241">
        <f t="shared" si="24"/>
        <v>28</v>
      </c>
      <c r="H24" s="246">
        <f t="shared" si="20"/>
        <v>157.9</v>
      </c>
      <c r="I24" s="246">
        <f t="shared" si="21"/>
        <v>193</v>
      </c>
      <c r="J24" s="243"/>
      <c r="K24" s="242">
        <f t="shared" si="22"/>
        <v>25.46</v>
      </c>
      <c r="L24" s="241"/>
      <c r="M24" s="244">
        <f t="shared" si="11"/>
        <v>3338.5223636943456</v>
      </c>
      <c r="N24" s="244">
        <v>24.303100000000001</v>
      </c>
      <c r="O24" s="245">
        <f t="shared" si="14"/>
        <v>0.71176283417357722</v>
      </c>
      <c r="P24" s="243">
        <f t="shared" si="15"/>
        <v>6.8928571428571432</v>
      </c>
      <c r="Q24" s="241">
        <f>COUNTIFS('Daily KPI'!$D:$D,D24,'Daily KPI'!$I:$I,"&gt;0")</f>
        <v>0</v>
      </c>
      <c r="R24" s="244">
        <f t="shared" si="4"/>
        <v>0</v>
      </c>
      <c r="S24" s="244">
        <f>SUMIF($F$2:F24,F24,$R$2:R24)</f>
        <v>0</v>
      </c>
      <c r="T24" s="243">
        <f t="shared" si="16"/>
        <v>119.23294156051234</v>
      </c>
      <c r="U24" s="244">
        <f t="shared" si="17"/>
        <v>0</v>
      </c>
      <c r="V24" s="244">
        <f>SUMIF($F$2:F24,F24,$U$2:U24)</f>
        <v>0</v>
      </c>
      <c r="W24" s="245">
        <f t="shared" si="18"/>
        <v>0.20441998064806605</v>
      </c>
      <c r="X24" s="245" t="str">
        <f t="shared" si="8"/>
        <v/>
      </c>
      <c r="Y24" s="245" t="str">
        <f t="shared" si="9"/>
        <v/>
      </c>
      <c r="Z24" s="243">
        <v>24.303099999999983</v>
      </c>
      <c r="AA24" s="246">
        <f>IFERROR(AVERAGEIF($F$2:F24,F24,$N$2:N24),"")</f>
        <v>24.303100000000004</v>
      </c>
      <c r="AB24" s="244"/>
      <c r="AC24" s="243"/>
      <c r="AD24" s="243"/>
      <c r="AE24" s="245">
        <v>0.995</v>
      </c>
      <c r="AF24" s="245">
        <v>0.995</v>
      </c>
      <c r="AG24" s="245"/>
      <c r="AH24" s="245"/>
      <c r="AI24" s="245"/>
      <c r="AJ24" s="245"/>
      <c r="AK24" s="245"/>
      <c r="AL24" s="245"/>
      <c r="AM24" s="253"/>
      <c r="AN24" s="253"/>
      <c r="AO24" s="253">
        <v>1507.7</v>
      </c>
      <c r="AP24" s="253">
        <v>1830.8223636943455</v>
      </c>
    </row>
    <row r="25" spans="1:42" x14ac:dyDescent="0.35">
      <c r="A25" s="237">
        <f t="shared" si="10"/>
        <v>24</v>
      </c>
      <c r="B25" s="238" t="str">
        <f t="shared" si="19"/>
        <v>March</v>
      </c>
      <c r="C25" s="238">
        <f t="shared" si="19"/>
        <v>3</v>
      </c>
      <c r="D25" s="239">
        <v>45717</v>
      </c>
      <c r="E25" s="240">
        <f t="shared" si="23"/>
        <v>2025</v>
      </c>
      <c r="F25" s="240" t="s">
        <v>324</v>
      </c>
      <c r="G25" s="241">
        <f t="shared" si="24"/>
        <v>31</v>
      </c>
      <c r="H25" s="246">
        <f t="shared" si="20"/>
        <v>197.2</v>
      </c>
      <c r="I25" s="246">
        <f t="shared" si="21"/>
        <v>213.9</v>
      </c>
      <c r="J25" s="243"/>
      <c r="K25" s="242">
        <f t="shared" si="22"/>
        <v>29.58</v>
      </c>
      <c r="L25" s="241"/>
      <c r="M25" s="244">
        <f t="shared" si="11"/>
        <v>3999.4429837080997</v>
      </c>
      <c r="N25" s="244">
        <v>24.303100000000001</v>
      </c>
      <c r="O25" s="245">
        <f t="shared" si="14"/>
        <v>0.76935547971207985</v>
      </c>
      <c r="P25" s="243">
        <f t="shared" si="15"/>
        <v>6.9</v>
      </c>
      <c r="Q25" s="241">
        <f>COUNTIFS('Daily KPI'!$D:$D,D25,'Daily KPI'!$I:$I,"&gt;0")</f>
        <v>3</v>
      </c>
      <c r="R25" s="244">
        <f t="shared" si="4"/>
        <v>20.700000000000003</v>
      </c>
      <c r="S25" s="244">
        <f>SUMIF($F$2:F37,F25,$R$2:R37)</f>
        <v>20.700000000000003</v>
      </c>
      <c r="T25" s="243">
        <f t="shared" si="16"/>
        <v>129.01428979703547</v>
      </c>
      <c r="U25" s="244">
        <f t="shared" si="17"/>
        <v>387.04286939110642</v>
      </c>
      <c r="V25" s="244">
        <f>SUMIF($F$2:F37,F25,$U$2:U37)</f>
        <v>387.04286939110642</v>
      </c>
      <c r="W25" s="245">
        <f t="shared" si="18"/>
        <v>0.22118970041722297</v>
      </c>
      <c r="X25" s="245">
        <f t="shared" si="8"/>
        <v>0.22118970041722297</v>
      </c>
      <c r="Y25" s="245">
        <f t="shared" si="9"/>
        <v>0.22118970041722297</v>
      </c>
      <c r="Z25" s="243">
        <v>24.303099999999983</v>
      </c>
      <c r="AA25" s="246">
        <f>IFERROR(AVERAGEIF($F$2:F37,F25,$N$2:N37),"")</f>
        <v>24.303100000000001</v>
      </c>
      <c r="AB25" s="244"/>
      <c r="AC25" s="243"/>
      <c r="AD25" s="243"/>
      <c r="AE25" s="245">
        <v>0.995</v>
      </c>
      <c r="AF25" s="245">
        <v>0.995</v>
      </c>
      <c r="AG25" s="245"/>
      <c r="AH25" s="245"/>
      <c r="AI25" s="245"/>
      <c r="AJ25" s="245"/>
      <c r="AK25" s="245"/>
      <c r="AL25" s="245"/>
      <c r="AM25" s="253"/>
      <c r="AN25" s="254"/>
      <c r="AO25" s="254">
        <v>1649.3</v>
      </c>
      <c r="AP25" s="254">
        <v>2350.1429837080996</v>
      </c>
    </row>
    <row r="26" spans="1:42" x14ac:dyDescent="0.35">
      <c r="A26" s="237">
        <f t="shared" si="10"/>
        <v>25</v>
      </c>
      <c r="B26" s="238" t="str">
        <f t="shared" ref="B26:C26" si="25">B14</f>
        <v>April</v>
      </c>
      <c r="C26" s="238">
        <f t="shared" si="25"/>
        <v>4</v>
      </c>
      <c r="D26" s="239">
        <v>45748</v>
      </c>
      <c r="E26" s="240">
        <f t="shared" ref="E26:E37" si="26">YEAR(D26)</f>
        <v>2025</v>
      </c>
      <c r="F26" s="240" t="s">
        <v>352</v>
      </c>
      <c r="G26" s="241">
        <f t="shared" ref="G26:G37" si="27">DAY(EOMONTH(D26,0))</f>
        <v>30</v>
      </c>
      <c r="H26" s="246">
        <f t="shared" si="20"/>
        <v>197.1</v>
      </c>
      <c r="I26" s="246">
        <f t="shared" si="21"/>
        <v>198.7</v>
      </c>
      <c r="J26" s="243"/>
      <c r="K26" s="242">
        <f t="shared" si="22"/>
        <v>31.76</v>
      </c>
      <c r="L26" s="241"/>
      <c r="M26" s="244">
        <f t="shared" si="11"/>
        <v>3614.9982047307058</v>
      </c>
      <c r="N26" s="244">
        <v>24.303100000000001</v>
      </c>
      <c r="O26" s="245">
        <f t="shared" si="14"/>
        <v>0.74859779740027077</v>
      </c>
      <c r="P26" s="243">
        <f t="shared" si="15"/>
        <v>6.6233333333333331</v>
      </c>
      <c r="Q26" s="241">
        <f>COUNTIFS('Daily KPI'!$D:$D,D26,'Daily KPI'!$I:$I,"&gt;0")</f>
        <v>30</v>
      </c>
      <c r="R26" s="244">
        <f t="shared" si="4"/>
        <v>198.7</v>
      </c>
      <c r="S26" s="244">
        <f>SUMIF($F$2:F26,F26,$R$2:R26)</f>
        <v>198.7</v>
      </c>
      <c r="T26" s="243">
        <f t="shared" ref="T26:T37" si="28">M26/G26</f>
        <v>120.49994015769019</v>
      </c>
      <c r="U26" s="244">
        <f t="shared" ref="U26:U37" si="29">M26/G26*Q26</f>
        <v>3614.9982047307058</v>
      </c>
      <c r="V26" s="244">
        <f>SUMIF($F$2:F26,F26,$U$2:U26)</f>
        <v>3614.9982047307058</v>
      </c>
      <c r="W26" s="245">
        <f t="shared" ref="W26:W37" si="30">IFERROR(T26/(24*N26),"")</f>
        <v>0.20659219769921358</v>
      </c>
      <c r="X26" s="245">
        <f t="shared" si="8"/>
        <v>0.20659219769921361</v>
      </c>
      <c r="Y26" s="245">
        <f t="shared" ref="Y26:Y37" si="31">IFERROR(V26/(24*N26*SUMIFS($Q:$Q,$F:$F,$F26,$D:$D,"&lt;="&amp;D26)),"")</f>
        <v>0.20659219769921361</v>
      </c>
      <c r="Z26" s="243">
        <f>IFERROR(AVERAGEIF('Daily KPI'!$D:$D,New_Modelling[[#This Row],[Month]],'Daily KPI'!$AB:$AB),"")</f>
        <v>24.303099999999983</v>
      </c>
      <c r="AA26" s="246">
        <f>IFERROR(AVERAGEIF($F$2:F26,F26,$N$2:N26),"")</f>
        <v>24.303100000000001</v>
      </c>
      <c r="AB26" s="244"/>
      <c r="AC26" s="243"/>
      <c r="AD26" s="243"/>
      <c r="AE26" s="245">
        <v>0.995</v>
      </c>
      <c r="AF26" s="245">
        <v>0.995</v>
      </c>
      <c r="AG26" s="245"/>
      <c r="AH26" s="245"/>
      <c r="AI26" s="245"/>
      <c r="AJ26" s="245"/>
      <c r="AK26" s="245"/>
      <c r="AL26" s="245"/>
      <c r="AM26" s="253"/>
      <c r="AN26" s="254"/>
      <c r="AO26" s="254">
        <v>1518.3717248598457</v>
      </c>
      <c r="AP26" s="254">
        <v>2096.6264798708603</v>
      </c>
    </row>
    <row r="27" spans="1:42" x14ac:dyDescent="0.35">
      <c r="A27" s="237">
        <f t="shared" si="10"/>
        <v>26</v>
      </c>
      <c r="B27" s="238" t="str">
        <f t="shared" ref="B27:C27" si="32">B15</f>
        <v>May</v>
      </c>
      <c r="C27" s="238">
        <f t="shared" si="32"/>
        <v>5</v>
      </c>
      <c r="D27" s="239">
        <v>45778</v>
      </c>
      <c r="E27" s="240">
        <f t="shared" si="26"/>
        <v>2025</v>
      </c>
      <c r="F27" s="240" t="s">
        <v>352</v>
      </c>
      <c r="G27" s="241">
        <f t="shared" si="27"/>
        <v>31</v>
      </c>
      <c r="H27" s="246">
        <f t="shared" si="20"/>
        <v>204.3</v>
      </c>
      <c r="I27" s="246">
        <f t="shared" si="21"/>
        <v>202.4</v>
      </c>
      <c r="J27" s="243"/>
      <c r="K27" s="242">
        <f t="shared" si="22"/>
        <v>30.53</v>
      </c>
      <c r="L27" s="241"/>
      <c r="M27" s="244">
        <f t="shared" si="11"/>
        <v>3717.077236564397</v>
      </c>
      <c r="N27" s="244">
        <v>24.303100000000001</v>
      </c>
      <c r="O27" s="245">
        <f t="shared" si="14"/>
        <v>0.75566516656343796</v>
      </c>
      <c r="P27" s="243">
        <f t="shared" si="15"/>
        <v>6.5290322580645164</v>
      </c>
      <c r="Q27" s="241">
        <f>COUNTIFS('Daily KPI'!$D:$D,D27,'Daily KPI'!$I:$I,"&gt;0")</f>
        <v>31</v>
      </c>
      <c r="R27" s="244">
        <f t="shared" si="4"/>
        <v>202.4</v>
      </c>
      <c r="S27" s="244">
        <f>SUMIF($F$2:F27,F27,$R$2:R27)</f>
        <v>401.1</v>
      </c>
      <c r="T27" s="243">
        <f t="shared" si="28"/>
        <v>119.90571730852893</v>
      </c>
      <c r="U27" s="244">
        <f t="shared" si="29"/>
        <v>3717.077236564397</v>
      </c>
      <c r="V27" s="244">
        <f>SUMIF($F$2:F27,F27,$U$2:U27)</f>
        <v>7332.0754412951028</v>
      </c>
      <c r="W27" s="245">
        <f t="shared" si="30"/>
        <v>0.20557342703284925</v>
      </c>
      <c r="X27" s="245">
        <f t="shared" si="8"/>
        <v>0.20557342703284925</v>
      </c>
      <c r="Y27" s="245">
        <f t="shared" si="31"/>
        <v>0.20607446178679892</v>
      </c>
      <c r="Z27" s="243">
        <f>IFERROR(AVERAGEIF('Daily KPI'!$D:$D,New_Modelling[[#This Row],[Month]],'Daily KPI'!$AB:$AB),"")</f>
        <v>24.303099999999983</v>
      </c>
      <c r="AA27" s="246">
        <f>IFERROR(AVERAGEIF($F$2:F27,F27,$N$2:N27),"")</f>
        <v>24.303100000000001</v>
      </c>
      <c r="AB27" s="244"/>
      <c r="AC27" s="243"/>
      <c r="AD27" s="243"/>
      <c r="AE27" s="245">
        <v>0.995</v>
      </c>
      <c r="AF27" s="245">
        <v>0.995</v>
      </c>
      <c r="AG27" s="245"/>
      <c r="AH27" s="245"/>
      <c r="AI27" s="245"/>
      <c r="AJ27" s="245"/>
      <c r="AK27" s="245"/>
      <c r="AL27" s="245"/>
      <c r="AM27" s="253"/>
      <c r="AN27" s="254"/>
      <c r="AO27" s="254">
        <v>1562.5453784313002</v>
      </c>
      <c r="AP27" s="254">
        <v>2154.5318581330966</v>
      </c>
    </row>
    <row r="28" spans="1:42" x14ac:dyDescent="0.35">
      <c r="A28" s="237">
        <f t="shared" si="10"/>
        <v>27</v>
      </c>
      <c r="B28" s="238" t="str">
        <f t="shared" ref="B28:C28" si="33">B16</f>
        <v>June</v>
      </c>
      <c r="C28" s="238">
        <f t="shared" si="33"/>
        <v>6</v>
      </c>
      <c r="D28" s="239">
        <v>45809</v>
      </c>
      <c r="E28" s="240">
        <f t="shared" si="26"/>
        <v>2025</v>
      </c>
      <c r="F28" s="240" t="s">
        <v>352</v>
      </c>
      <c r="G28" s="241">
        <f t="shared" si="27"/>
        <v>30</v>
      </c>
      <c r="H28" s="246">
        <f t="shared" si="20"/>
        <v>156</v>
      </c>
      <c r="I28" s="246">
        <f t="shared" si="21"/>
        <v>153.69999999999999</v>
      </c>
      <c r="J28" s="243"/>
      <c r="K28" s="242">
        <f t="shared" si="22"/>
        <v>26.96</v>
      </c>
      <c r="L28" s="241"/>
      <c r="M28" s="244">
        <f t="shared" si="11"/>
        <v>2732.7507200728442</v>
      </c>
      <c r="N28" s="244">
        <v>24.303100000000001</v>
      </c>
      <c r="O28" s="245">
        <f t="shared" si="14"/>
        <v>0.73158446710143066</v>
      </c>
      <c r="P28" s="243">
        <f t="shared" si="15"/>
        <v>5.1233333333333331</v>
      </c>
      <c r="Q28" s="241">
        <f>COUNTIFS('Daily KPI'!$D:$D,D28,'Daily KPI'!$I:$I,"&gt;0")</f>
        <v>30</v>
      </c>
      <c r="R28" s="244">
        <f t="shared" si="4"/>
        <v>153.69999999999999</v>
      </c>
      <c r="S28" s="244">
        <f>SUMIF($F$2:F28,F28,$R$2:R28)</f>
        <v>554.79999999999995</v>
      </c>
      <c r="T28" s="243">
        <f t="shared" si="28"/>
        <v>91.091690669094803</v>
      </c>
      <c r="U28" s="244">
        <f t="shared" si="29"/>
        <v>2732.7507200728442</v>
      </c>
      <c r="V28" s="244">
        <f>SUMIF($F$2:F28,F28,$U$2:U28)</f>
        <v>10064.826161367946</v>
      </c>
      <c r="W28" s="245">
        <f t="shared" si="30"/>
        <v>0.15617296193540262</v>
      </c>
      <c r="X28" s="245">
        <f t="shared" si="8"/>
        <v>0.15617296193540262</v>
      </c>
      <c r="Y28" s="245">
        <f t="shared" si="31"/>
        <v>0.18962341787974521</v>
      </c>
      <c r="Z28" s="243">
        <f>IFERROR(AVERAGEIF('Daily KPI'!$D:$D,New_Modelling[[#This Row],[Month]],'Daily KPI'!$AB:$AB),"")</f>
        <v>24.303099999999983</v>
      </c>
      <c r="AA28" s="246">
        <f>IFERROR(AVERAGEIF($F$2:F28,F28,$N$2:N28),"")</f>
        <v>24.303100000000001</v>
      </c>
      <c r="AB28" s="244"/>
      <c r="AC28" s="243"/>
      <c r="AD28" s="243"/>
      <c r="AE28" s="245">
        <v>0.995</v>
      </c>
      <c r="AF28" s="245">
        <v>0.995</v>
      </c>
      <c r="AG28" s="245"/>
      <c r="AH28" s="245"/>
      <c r="AI28" s="245"/>
      <c r="AJ28" s="245"/>
      <c r="AK28" s="245"/>
      <c r="AL28" s="245"/>
      <c r="AM28" s="253"/>
      <c r="AN28" s="254"/>
      <c r="AO28" s="254">
        <v>1227.6924532087487</v>
      </c>
      <c r="AP28" s="254">
        <v>1505.0582668640955</v>
      </c>
    </row>
    <row r="29" spans="1:42" x14ac:dyDescent="0.35">
      <c r="A29" s="237">
        <f t="shared" si="10"/>
        <v>28</v>
      </c>
      <c r="B29" s="238" t="str">
        <f t="shared" ref="B29:C29" si="34">B17</f>
        <v>July</v>
      </c>
      <c r="C29" s="238">
        <f t="shared" si="34"/>
        <v>7</v>
      </c>
      <c r="D29" s="239">
        <v>45839</v>
      </c>
      <c r="E29" s="240">
        <f t="shared" si="26"/>
        <v>2025</v>
      </c>
      <c r="F29" s="240" t="s">
        <v>352</v>
      </c>
      <c r="G29" s="241">
        <f t="shared" si="27"/>
        <v>31</v>
      </c>
      <c r="H29" s="246">
        <f t="shared" si="20"/>
        <v>138</v>
      </c>
      <c r="I29" s="246">
        <f t="shared" si="21"/>
        <v>136.6</v>
      </c>
      <c r="J29" s="243"/>
      <c r="K29" s="242">
        <f t="shared" si="22"/>
        <v>25.04</v>
      </c>
      <c r="L29" s="241"/>
      <c r="M29" s="244">
        <f t="shared" si="11"/>
        <v>2401.779663494875</v>
      </c>
      <c r="N29" s="244">
        <v>24.303100000000001</v>
      </c>
      <c r="O29" s="245">
        <f t="shared" si="14"/>
        <v>0.72347043806469047</v>
      </c>
      <c r="P29" s="243">
        <f t="shared" si="15"/>
        <v>4.4064516129032256</v>
      </c>
      <c r="Q29" s="241">
        <f>COUNTIFS('Daily KPI'!$D:$D,D29,'Daily KPI'!$I:$I,"&gt;0")</f>
        <v>31</v>
      </c>
      <c r="R29" s="244">
        <f t="shared" si="4"/>
        <v>136.6</v>
      </c>
      <c r="S29" s="244">
        <f>SUMIF($F$2:F29,F29,$R$2:R29)</f>
        <v>691.4</v>
      </c>
      <c r="T29" s="243">
        <f t="shared" si="28"/>
        <v>77.476763338544359</v>
      </c>
      <c r="U29" s="244">
        <f t="shared" si="29"/>
        <v>2401.779663494875</v>
      </c>
      <c r="V29" s="244">
        <f>SUMIF($F$2:F29,F29,$U$2:U29)</f>
        <v>12466.605824862821</v>
      </c>
      <c r="W29" s="245">
        <f t="shared" si="30"/>
        <v>0.1328307282790816</v>
      </c>
      <c r="X29" s="245">
        <f t="shared" si="8"/>
        <v>0.1328307282790816</v>
      </c>
      <c r="Y29" s="245">
        <f t="shared" si="31"/>
        <v>0.1751924885549864</v>
      </c>
      <c r="Z29" s="243">
        <f>IFERROR(AVERAGEIF('Daily KPI'!$D:$D,New_Modelling[[#This Row],[Month]],'Daily KPI'!$AB:$AB),"")</f>
        <v>24.303099999999983</v>
      </c>
      <c r="AA29" s="246">
        <f>IFERROR(AVERAGEIF($F$2:F29,F29,$N$2:N29),"")</f>
        <v>24.303100000000001</v>
      </c>
      <c r="AB29" s="244"/>
      <c r="AC29" s="243"/>
      <c r="AD29" s="243"/>
      <c r="AE29" s="245">
        <v>0.995</v>
      </c>
      <c r="AF29" s="245">
        <v>0.995</v>
      </c>
      <c r="AG29" s="245"/>
      <c r="AH29" s="245"/>
      <c r="AI29" s="245"/>
      <c r="AJ29" s="245"/>
      <c r="AK29" s="245"/>
      <c r="AL29" s="245"/>
      <c r="AM29" s="253"/>
      <c r="AN29" s="254"/>
      <c r="AO29" s="254">
        <v>1116.3480657720338</v>
      </c>
      <c r="AP29" s="254">
        <v>1285.4315977228412</v>
      </c>
    </row>
    <row r="30" spans="1:42" x14ac:dyDescent="0.35">
      <c r="A30" s="237">
        <f t="shared" si="10"/>
        <v>29</v>
      </c>
      <c r="B30" s="238" t="str">
        <f t="shared" ref="B30:C30" si="35">B18</f>
        <v>August</v>
      </c>
      <c r="C30" s="238">
        <f t="shared" si="35"/>
        <v>8</v>
      </c>
      <c r="D30" s="239">
        <v>45870</v>
      </c>
      <c r="E30" s="240">
        <f t="shared" si="26"/>
        <v>2025</v>
      </c>
      <c r="F30" s="240" t="s">
        <v>352</v>
      </c>
      <c r="G30" s="241">
        <f t="shared" si="27"/>
        <v>31</v>
      </c>
      <c r="H30" s="246">
        <f t="shared" si="20"/>
        <v>129.30000000000001</v>
      </c>
      <c r="I30" s="246">
        <f t="shared" si="21"/>
        <v>129.4</v>
      </c>
      <c r="J30" s="243"/>
      <c r="K30" s="242">
        <f t="shared" si="22"/>
        <v>24.6</v>
      </c>
      <c r="L30" s="241"/>
      <c r="M30" s="244">
        <f t="shared" si="11"/>
        <v>2420.0836088493279</v>
      </c>
      <c r="N30" s="244">
        <v>24.303100000000001</v>
      </c>
      <c r="O30" s="245">
        <f t="shared" si="14"/>
        <v>0.76954570740685357</v>
      </c>
      <c r="P30" s="243">
        <f t="shared" si="15"/>
        <v>4.1741935483870973</v>
      </c>
      <c r="Q30" s="241">
        <f>COUNTIFS('Daily KPI'!$D:$D,D30,'Daily KPI'!$I:$I,"&gt;0")</f>
        <v>4</v>
      </c>
      <c r="R30" s="244">
        <f t="shared" si="4"/>
        <v>16.696774193548389</v>
      </c>
      <c r="S30" s="244">
        <f>SUMIF($F$2:F30,F30,$R$2:R30)</f>
        <v>708.09677419354841</v>
      </c>
      <c r="T30" s="243">
        <f t="shared" si="28"/>
        <v>78.067213188688001</v>
      </c>
      <c r="U30" s="244">
        <f t="shared" si="29"/>
        <v>312.268852754752</v>
      </c>
      <c r="V30" s="244">
        <f>SUMIF($F$2:F30,F30,$U$2:U30)</f>
        <v>12778.874677617574</v>
      </c>
      <c r="W30" s="245">
        <f t="shared" si="30"/>
        <v>0.13384303029361139</v>
      </c>
      <c r="X30" s="245">
        <f t="shared" si="8"/>
        <v>0.13384303029361139</v>
      </c>
      <c r="Y30" s="245">
        <f t="shared" si="31"/>
        <v>0.17387980734033961</v>
      </c>
      <c r="Z30" s="243">
        <f>IFERROR(AVERAGEIF('Daily KPI'!$D:$D,New_Modelling[[#This Row],[Month]],'Daily KPI'!$AB:$AB),"")</f>
        <v>24.303100000000001</v>
      </c>
      <c r="AA30" s="246">
        <f>IFERROR(AVERAGEIF($F$2:F30,F30,$N$2:N30),"")</f>
        <v>24.303100000000001</v>
      </c>
      <c r="AB30" s="244"/>
      <c r="AC30" s="243"/>
      <c r="AD30" s="243"/>
      <c r="AE30" s="245">
        <v>0.995</v>
      </c>
      <c r="AF30" s="245">
        <v>0.995</v>
      </c>
      <c r="AG30" s="245"/>
      <c r="AH30" s="245"/>
      <c r="AI30" s="245"/>
      <c r="AJ30" s="245"/>
      <c r="AK30" s="245"/>
      <c r="AL30" s="245"/>
      <c r="AM30" s="253"/>
      <c r="AN30" s="254"/>
      <c r="AO30" s="254">
        <v>1054.8036088535146</v>
      </c>
      <c r="AP30" s="254">
        <v>1365.2799999958136</v>
      </c>
    </row>
    <row r="31" spans="1:42" x14ac:dyDescent="0.35">
      <c r="A31" s="237">
        <f t="shared" si="10"/>
        <v>30</v>
      </c>
      <c r="B31" s="238" t="str">
        <f t="shared" ref="B31:C31" si="36">B19</f>
        <v>September</v>
      </c>
      <c r="C31" s="238">
        <f t="shared" si="36"/>
        <v>9</v>
      </c>
      <c r="D31" s="239">
        <v>45901</v>
      </c>
      <c r="E31" s="240">
        <f t="shared" si="26"/>
        <v>2025</v>
      </c>
      <c r="F31" s="240" t="s">
        <v>352</v>
      </c>
      <c r="G31" s="241">
        <f t="shared" si="27"/>
        <v>30</v>
      </c>
      <c r="H31" s="246">
        <f t="shared" si="20"/>
        <v>145.19999999999999</v>
      </c>
      <c r="I31" s="246">
        <f t="shared" si="21"/>
        <v>148</v>
      </c>
      <c r="J31" s="243"/>
      <c r="K31" s="242">
        <f t="shared" si="22"/>
        <v>25.31</v>
      </c>
      <c r="L31" s="241"/>
      <c r="M31" s="244">
        <f t="shared" si="11"/>
        <v>2744.7447083142306</v>
      </c>
      <c r="N31" s="244">
        <v>24.303100000000001</v>
      </c>
      <c r="O31" s="245">
        <f t="shared" si="14"/>
        <v>0.76309492836200032</v>
      </c>
      <c r="P31" s="243">
        <f t="shared" si="15"/>
        <v>4.9333333333333336</v>
      </c>
      <c r="Q31" s="241">
        <f>COUNTIFS('Daily KPI'!$D:$D,D31,'Daily KPI'!$I:$I,"&gt;0")</f>
        <v>0</v>
      </c>
      <c r="R31" s="244">
        <f t="shared" si="4"/>
        <v>0</v>
      </c>
      <c r="S31" s="244">
        <f>SUMIF($F$2:F31,F31,$R$2:R31)</f>
        <v>708.09677419354841</v>
      </c>
      <c r="T31" s="243">
        <f t="shared" si="28"/>
        <v>91.491490277141025</v>
      </c>
      <c r="U31" s="244">
        <f t="shared" si="29"/>
        <v>0</v>
      </c>
      <c r="V31" s="244">
        <f>SUMIF($F$2:F31,F31,$U$2:U31)</f>
        <v>12778.874677617574</v>
      </c>
      <c r="W31" s="245">
        <f t="shared" si="30"/>
        <v>0.15685840194107786</v>
      </c>
      <c r="X31" s="245" t="str">
        <f t="shared" si="8"/>
        <v/>
      </c>
      <c r="Y31" s="245">
        <f t="shared" si="31"/>
        <v>0.17387980734033961</v>
      </c>
      <c r="Z31" s="243" t="str">
        <f>IFERROR(AVERAGEIF('Daily KPI'!$D:$D,New_Modelling[[#This Row],[Month]],'Daily KPI'!$AB:$AB),"")</f>
        <v/>
      </c>
      <c r="AA31" s="246">
        <f>IFERROR(AVERAGEIF($F$2:F31,F31,$N$2:N31),"")</f>
        <v>24.303100000000001</v>
      </c>
      <c r="AB31" s="244"/>
      <c r="AC31" s="243"/>
      <c r="AD31" s="243"/>
      <c r="AE31" s="245">
        <v>0.995</v>
      </c>
      <c r="AF31" s="245">
        <v>0.995</v>
      </c>
      <c r="AG31" s="245"/>
      <c r="AH31" s="245"/>
      <c r="AI31" s="245"/>
      <c r="AJ31" s="245"/>
      <c r="AK31" s="245"/>
      <c r="AL31" s="245"/>
      <c r="AM31" s="253"/>
      <c r="AN31" s="254"/>
      <c r="AO31" s="254">
        <v>1195.2047699065679</v>
      </c>
      <c r="AP31" s="254">
        <v>1549.5399384076629</v>
      </c>
    </row>
    <row r="32" spans="1:42" x14ac:dyDescent="0.35">
      <c r="A32" s="237">
        <f t="shared" si="10"/>
        <v>31</v>
      </c>
      <c r="B32" s="238" t="str">
        <f t="shared" ref="B32:C32" si="37">B20</f>
        <v>October</v>
      </c>
      <c r="C32" s="238">
        <f t="shared" si="37"/>
        <v>10</v>
      </c>
      <c r="D32" s="239">
        <v>45931</v>
      </c>
      <c r="E32" s="240">
        <f t="shared" si="26"/>
        <v>2025</v>
      </c>
      <c r="F32" s="240" t="s">
        <v>352</v>
      </c>
      <c r="G32" s="241">
        <f t="shared" si="27"/>
        <v>31</v>
      </c>
      <c r="H32" s="246">
        <f t="shared" si="20"/>
        <v>160</v>
      </c>
      <c r="I32" s="246">
        <f t="shared" si="21"/>
        <v>187.1</v>
      </c>
      <c r="J32" s="243"/>
      <c r="K32" s="242">
        <f t="shared" si="22"/>
        <v>26.6</v>
      </c>
      <c r="L32" s="241"/>
      <c r="M32" s="244">
        <f t="shared" si="11"/>
        <v>3371.4684902607914</v>
      </c>
      <c r="N32" s="244">
        <v>24.303100000000001</v>
      </c>
      <c r="O32" s="245">
        <f t="shared" si="14"/>
        <v>0.74145302903300359</v>
      </c>
      <c r="P32" s="243">
        <f t="shared" si="15"/>
        <v>6.0354838709677416</v>
      </c>
      <c r="Q32" s="241">
        <f>COUNTIFS('Daily KPI'!$D:$D,D32,'Daily KPI'!$I:$I,"&gt;0")</f>
        <v>0</v>
      </c>
      <c r="R32" s="244">
        <f t="shared" si="4"/>
        <v>0</v>
      </c>
      <c r="S32" s="244">
        <f>SUMIF($F$2:F32,F32,$R$2:R32)</f>
        <v>708.09677419354841</v>
      </c>
      <c r="T32" s="243">
        <f t="shared" si="28"/>
        <v>108.75704807292875</v>
      </c>
      <c r="U32" s="244">
        <f t="shared" si="29"/>
        <v>0</v>
      </c>
      <c r="V32" s="244">
        <f>SUMIF($F$2:F32,F32,$U$2:U32)</f>
        <v>12778.874677617574</v>
      </c>
      <c r="W32" s="245">
        <f t="shared" si="30"/>
        <v>0.18645949157536959</v>
      </c>
      <c r="X32" s="245" t="str">
        <f t="shared" si="8"/>
        <v/>
      </c>
      <c r="Y32" s="245">
        <f t="shared" si="31"/>
        <v>0.17387980734033961</v>
      </c>
      <c r="Z32" s="243" t="str">
        <f>IFERROR(AVERAGEIF('Daily KPI'!$D:$D,New_Modelling[[#This Row],[Month]],'Daily KPI'!$AB:$AB),"")</f>
        <v/>
      </c>
      <c r="AA32" s="246">
        <f>IFERROR(AVERAGEIF($F$2:F32,F32,$N$2:N32),"")</f>
        <v>24.303100000000001</v>
      </c>
      <c r="AB32" s="244"/>
      <c r="AC32" s="243"/>
      <c r="AD32" s="243"/>
      <c r="AE32" s="245">
        <v>0.995</v>
      </c>
      <c r="AF32" s="245">
        <v>0.995</v>
      </c>
      <c r="AG32" s="245"/>
      <c r="AH32" s="245"/>
      <c r="AI32" s="245"/>
      <c r="AJ32" s="245"/>
      <c r="AK32" s="245"/>
      <c r="AL32" s="245"/>
      <c r="AM32" s="253"/>
      <c r="AN32" s="254"/>
      <c r="AO32" s="254">
        <v>1478.7765342922041</v>
      </c>
      <c r="AP32" s="254">
        <v>1892.6919559685875</v>
      </c>
    </row>
    <row r="33" spans="1:42" x14ac:dyDescent="0.35">
      <c r="A33" s="237">
        <f t="shared" si="10"/>
        <v>32</v>
      </c>
      <c r="B33" s="238" t="str">
        <f t="shared" ref="B33:C33" si="38">B21</f>
        <v>November</v>
      </c>
      <c r="C33" s="238">
        <f t="shared" si="38"/>
        <v>11</v>
      </c>
      <c r="D33" s="239">
        <v>45962</v>
      </c>
      <c r="E33" s="240">
        <f t="shared" si="26"/>
        <v>2025</v>
      </c>
      <c r="F33" s="240" t="s">
        <v>352</v>
      </c>
      <c r="G33" s="241">
        <f t="shared" si="27"/>
        <v>30</v>
      </c>
      <c r="H33" s="246">
        <f t="shared" si="20"/>
        <v>147.9</v>
      </c>
      <c r="I33" s="246">
        <f t="shared" si="21"/>
        <v>192.4</v>
      </c>
      <c r="J33" s="243"/>
      <c r="K33" s="242">
        <f t="shared" si="22"/>
        <v>24.86</v>
      </c>
      <c r="L33" s="241"/>
      <c r="M33" s="244">
        <f t="shared" si="11"/>
        <v>3300.3930185926106</v>
      </c>
      <c r="N33" s="244">
        <v>24.303100000000001</v>
      </c>
      <c r="O33" s="245">
        <f t="shared" si="14"/>
        <v>0.70582805765293155</v>
      </c>
      <c r="P33" s="243">
        <f t="shared" si="15"/>
        <v>6.4133333333333331</v>
      </c>
      <c r="Q33" s="241">
        <f>COUNTIFS('Daily KPI'!$D:$D,D33,'Daily KPI'!$I:$I,"&gt;0")</f>
        <v>0</v>
      </c>
      <c r="R33" s="244">
        <f t="shared" si="4"/>
        <v>0</v>
      </c>
      <c r="S33" s="244">
        <f>SUMIF($F$2:F33,F33,$R$2:R33)</f>
        <v>708.09677419354841</v>
      </c>
      <c r="T33" s="243">
        <f t="shared" si="28"/>
        <v>110.01310061975369</v>
      </c>
      <c r="U33" s="244">
        <f t="shared" si="29"/>
        <v>0</v>
      </c>
      <c r="V33" s="244">
        <f>SUMIF($F$2:F33,F33,$U$2:U33)</f>
        <v>12778.874677617574</v>
      </c>
      <c r="W33" s="245">
        <f t="shared" si="30"/>
        <v>0.18861294207281115</v>
      </c>
      <c r="X33" s="245" t="str">
        <f t="shared" si="8"/>
        <v/>
      </c>
      <c r="Y33" s="245">
        <f t="shared" si="31"/>
        <v>0.17387980734033961</v>
      </c>
      <c r="Z33" s="243" t="str">
        <f>IFERROR(AVERAGEIF('Daily KPI'!$D:$D,New_Modelling[[#This Row],[Month]],'Daily KPI'!$AB:$AB),"")</f>
        <v/>
      </c>
      <c r="AA33" s="246">
        <f>IFERROR(AVERAGEIF($F$2:F33,F33,$N$2:N33),"")</f>
        <v>24.303100000000001</v>
      </c>
      <c r="AB33" s="244"/>
      <c r="AC33" s="243"/>
      <c r="AD33" s="243"/>
      <c r="AE33" s="245">
        <v>0.995</v>
      </c>
      <c r="AF33" s="245">
        <v>0.995</v>
      </c>
      <c r="AG33" s="245"/>
      <c r="AH33" s="245"/>
      <c r="AI33" s="245"/>
      <c r="AJ33" s="245"/>
      <c r="AK33" s="245"/>
      <c r="AL33" s="245"/>
      <c r="AM33" s="253"/>
      <c r="AN33" s="254"/>
      <c r="AO33" s="254">
        <v>1521.7914809969168</v>
      </c>
      <c r="AP33" s="254">
        <v>1778.6015375956938</v>
      </c>
    </row>
    <row r="34" spans="1:42" x14ac:dyDescent="0.35">
      <c r="A34" s="237">
        <f t="shared" si="10"/>
        <v>33</v>
      </c>
      <c r="B34" s="238" t="str">
        <f t="shared" ref="B34:C34" si="39">B22</f>
        <v>December</v>
      </c>
      <c r="C34" s="238">
        <f t="shared" si="39"/>
        <v>12</v>
      </c>
      <c r="D34" s="239">
        <v>45992</v>
      </c>
      <c r="E34" s="240">
        <f t="shared" si="26"/>
        <v>2025</v>
      </c>
      <c r="F34" s="240" t="s">
        <v>352</v>
      </c>
      <c r="G34" s="241">
        <f t="shared" si="27"/>
        <v>31</v>
      </c>
      <c r="H34" s="246">
        <f t="shared" si="20"/>
        <v>144.5</v>
      </c>
      <c r="I34" s="246">
        <f t="shared" si="21"/>
        <v>200.9</v>
      </c>
      <c r="J34" s="243"/>
      <c r="K34" s="242">
        <f t="shared" si="22"/>
        <v>22.67</v>
      </c>
      <c r="L34" s="241"/>
      <c r="M34" s="244">
        <f t="shared" si="11"/>
        <v>3465.998529530304</v>
      </c>
      <c r="N34" s="244">
        <v>24.303100000000001</v>
      </c>
      <c r="O34" s="245">
        <f t="shared" si="14"/>
        <v>0.709882979577386</v>
      </c>
      <c r="P34" s="243">
        <f t="shared" si="15"/>
        <v>6.4806451612903224</v>
      </c>
      <c r="Q34" s="241">
        <f>COUNTIFS('Daily KPI'!$D:$D,D34,'Daily KPI'!$I:$I,"&gt;0")</f>
        <v>0</v>
      </c>
      <c r="R34" s="244">
        <f t="shared" si="4"/>
        <v>0</v>
      </c>
      <c r="S34" s="244">
        <f>SUMIF($F$2:F34,F34,$R$2:R34)</f>
        <v>708.09677419354841</v>
      </c>
      <c r="T34" s="243">
        <f t="shared" si="28"/>
        <v>111.8064041783969</v>
      </c>
      <c r="U34" s="244">
        <f t="shared" si="29"/>
        <v>0</v>
      </c>
      <c r="V34" s="244">
        <f>SUMIF($F$2:F34,F34,$U$2:U34)</f>
        <v>12778.874677617574</v>
      </c>
      <c r="W34" s="245">
        <f t="shared" si="30"/>
        <v>0.19168748736168928</v>
      </c>
      <c r="X34" s="245" t="str">
        <f t="shared" si="8"/>
        <v/>
      </c>
      <c r="Y34" s="245">
        <f t="shared" si="31"/>
        <v>0.17387980734033961</v>
      </c>
      <c r="Z34" s="243" t="str">
        <f>IFERROR(AVERAGEIF('Daily KPI'!$D:$D,New_Modelling[[#This Row],[Month]],'Daily KPI'!$AB:$AB),"")</f>
        <v/>
      </c>
      <c r="AA34" s="246">
        <f>IFERROR(AVERAGEIF($F$2:F34,F34,$N$2:N34),"")</f>
        <v>24.303100000000001</v>
      </c>
      <c r="AB34" s="244"/>
      <c r="AC34" s="243"/>
      <c r="AD34" s="243"/>
      <c r="AE34" s="245">
        <v>0.995</v>
      </c>
      <c r="AF34" s="245">
        <v>0.995</v>
      </c>
      <c r="AG34" s="245"/>
      <c r="AH34" s="245"/>
      <c r="AI34" s="245"/>
      <c r="AJ34" s="245"/>
      <c r="AK34" s="245"/>
      <c r="AL34" s="245"/>
      <c r="AM34" s="253"/>
      <c r="AN34" s="254"/>
      <c r="AO34" s="254">
        <v>1606.9941528724548</v>
      </c>
      <c r="AP34" s="254">
        <v>1859.0043766578494</v>
      </c>
    </row>
    <row r="35" spans="1:42" x14ac:dyDescent="0.35">
      <c r="A35" s="237">
        <f t="shared" si="10"/>
        <v>34</v>
      </c>
      <c r="B35" s="238" t="str">
        <f t="shared" ref="B35:C35" si="40">B23</f>
        <v>January</v>
      </c>
      <c r="C35" s="238">
        <f t="shared" si="40"/>
        <v>1</v>
      </c>
      <c r="D35" s="239">
        <v>46023</v>
      </c>
      <c r="E35" s="240">
        <f t="shared" si="26"/>
        <v>2026</v>
      </c>
      <c r="F35" s="240" t="s">
        <v>352</v>
      </c>
      <c r="G35" s="241">
        <f t="shared" si="27"/>
        <v>31</v>
      </c>
      <c r="H35" s="246">
        <f t="shared" si="20"/>
        <v>155.6</v>
      </c>
      <c r="I35" s="246">
        <f t="shared" si="21"/>
        <v>210.5</v>
      </c>
      <c r="J35" s="243"/>
      <c r="K35" s="242">
        <f t="shared" si="22"/>
        <v>23.04</v>
      </c>
      <c r="L35" s="241"/>
      <c r="M35" s="244">
        <f t="shared" si="11"/>
        <v>3553.7359052082966</v>
      </c>
      <c r="N35" s="244">
        <v>24.303100000000001</v>
      </c>
      <c r="O35" s="245">
        <f t="shared" si="14"/>
        <v>0.69465853509305142</v>
      </c>
      <c r="P35" s="243">
        <f t="shared" si="15"/>
        <v>6.790322580645161</v>
      </c>
      <c r="Q35" s="241">
        <f>COUNTIFS('Daily KPI'!$D:$D,D35,'Daily KPI'!$I:$I,"&gt;0")</f>
        <v>0</v>
      </c>
      <c r="R35" s="244">
        <f t="shared" si="4"/>
        <v>0</v>
      </c>
      <c r="S35" s="244">
        <f>SUMIF($F$2:F35,F35,$R$2:R35)</f>
        <v>708.09677419354841</v>
      </c>
      <c r="T35" s="243">
        <f t="shared" si="28"/>
        <v>114.63664210349344</v>
      </c>
      <c r="U35" s="244">
        <f t="shared" si="29"/>
        <v>0</v>
      </c>
      <c r="V35" s="244">
        <f>SUMIF($F$2:F35,F35,$U$2:U35)</f>
        <v>12778.874677617574</v>
      </c>
      <c r="W35" s="245">
        <f t="shared" si="30"/>
        <v>0.19653981402834317</v>
      </c>
      <c r="X35" s="245" t="str">
        <f t="shared" si="8"/>
        <v/>
      </c>
      <c r="Y35" s="245">
        <f t="shared" si="31"/>
        <v>0.17387980734033961</v>
      </c>
      <c r="Z35" s="243" t="str">
        <f>IFERROR(AVERAGEIF('Daily KPI'!$D:$D,New_Modelling[[#This Row],[Month]],'Daily KPI'!$AB:$AB),"")</f>
        <v/>
      </c>
      <c r="AA35" s="246">
        <f>IFERROR(AVERAGEIF($F$2:F35,F35,$N$2:N35),"")</f>
        <v>24.303100000000001</v>
      </c>
      <c r="AB35" s="244"/>
      <c r="AC35" s="243"/>
      <c r="AD35" s="243"/>
      <c r="AE35" s="245">
        <v>0.995</v>
      </c>
      <c r="AF35" s="245">
        <v>0.995</v>
      </c>
      <c r="AG35" s="245"/>
      <c r="AH35" s="245"/>
      <c r="AI35" s="245"/>
      <c r="AJ35" s="245"/>
      <c r="AK35" s="245"/>
      <c r="AL35" s="245"/>
      <c r="AM35" s="253"/>
      <c r="AN35" s="254"/>
      <c r="AO35" s="254">
        <v>1670.2481780387088</v>
      </c>
      <c r="AP35" s="254">
        <v>1883.4877271695877</v>
      </c>
    </row>
    <row r="36" spans="1:42" x14ac:dyDescent="0.35">
      <c r="A36" s="237">
        <f t="shared" si="10"/>
        <v>35</v>
      </c>
      <c r="B36" s="238" t="str">
        <f t="shared" ref="B36:C36" si="41">B24</f>
        <v>February</v>
      </c>
      <c r="C36" s="238">
        <f t="shared" si="41"/>
        <v>2</v>
      </c>
      <c r="D36" s="239">
        <v>46054</v>
      </c>
      <c r="E36" s="240">
        <f t="shared" si="26"/>
        <v>2026</v>
      </c>
      <c r="F36" s="240" t="s">
        <v>352</v>
      </c>
      <c r="G36" s="241">
        <f t="shared" si="27"/>
        <v>28</v>
      </c>
      <c r="H36" s="246">
        <f t="shared" si="20"/>
        <v>157.9</v>
      </c>
      <c r="I36" s="246">
        <f t="shared" si="21"/>
        <v>193</v>
      </c>
      <c r="J36" s="243"/>
      <c r="K36" s="242">
        <f t="shared" si="22"/>
        <v>25.46</v>
      </c>
      <c r="L36" s="241"/>
      <c r="M36" s="244">
        <f t="shared" si="11"/>
        <v>3209.6434171289402</v>
      </c>
      <c r="N36" s="244">
        <v>24.303100000000001</v>
      </c>
      <c r="O36" s="245">
        <f t="shared" si="14"/>
        <v>0.68428623396557675</v>
      </c>
      <c r="P36" s="243">
        <f t="shared" si="15"/>
        <v>6.8928571428571432</v>
      </c>
      <c r="Q36" s="241">
        <f>COUNTIFS('Daily KPI'!$D:$D,D36,'Daily KPI'!$I:$I,"&gt;0")</f>
        <v>0</v>
      </c>
      <c r="R36" s="244">
        <f t="shared" si="4"/>
        <v>0</v>
      </c>
      <c r="S36" s="244">
        <f>SUMIF($F$2:F36,F36,$R$2:R36)</f>
        <v>708.09677419354841</v>
      </c>
      <c r="T36" s="243">
        <f t="shared" si="28"/>
        <v>114.63012204031929</v>
      </c>
      <c r="U36" s="244">
        <f t="shared" si="29"/>
        <v>0</v>
      </c>
      <c r="V36" s="244">
        <f>SUMIF($F$2:F36,F36,$U$2:U36)</f>
        <v>12778.874677617574</v>
      </c>
      <c r="W36" s="245">
        <f t="shared" si="30"/>
        <v>0.19652863564785167</v>
      </c>
      <c r="X36" s="245" t="str">
        <f t="shared" si="8"/>
        <v/>
      </c>
      <c r="Y36" s="245">
        <f t="shared" si="31"/>
        <v>0.17387980734033961</v>
      </c>
      <c r="Z36" s="243" t="str">
        <f>IFERROR(AVERAGEIF('Daily KPI'!$D:$D,New_Modelling[[#This Row],[Month]],'Daily KPI'!$AB:$AB),"")</f>
        <v/>
      </c>
      <c r="AA36" s="246">
        <f>IFERROR(AVERAGEIF($F$2:F36,F36,$N$2:N36),"")</f>
        <v>24.303100000000004</v>
      </c>
      <c r="AB36" s="244"/>
      <c r="AC36" s="243"/>
      <c r="AD36" s="243"/>
      <c r="AE36" s="245">
        <v>0.995</v>
      </c>
      <c r="AF36" s="245">
        <v>0.995</v>
      </c>
      <c r="AG36" s="245"/>
      <c r="AH36" s="245"/>
      <c r="AI36" s="245"/>
      <c r="AJ36" s="245"/>
      <c r="AK36" s="245"/>
      <c r="AL36" s="245"/>
      <c r="AM36" s="253"/>
      <c r="AN36" s="254"/>
      <c r="AO36" s="254">
        <v>1497.1769268727976</v>
      </c>
      <c r="AP36" s="254">
        <v>1712.4664902561424</v>
      </c>
    </row>
    <row r="37" spans="1:42" x14ac:dyDescent="0.35">
      <c r="A37" s="237">
        <f t="shared" si="10"/>
        <v>36</v>
      </c>
      <c r="B37" s="238" t="str">
        <f t="shared" ref="B37:C37" si="42">B25</f>
        <v>March</v>
      </c>
      <c r="C37" s="238">
        <f t="shared" si="42"/>
        <v>3</v>
      </c>
      <c r="D37" s="239">
        <v>46082</v>
      </c>
      <c r="E37" s="240">
        <f t="shared" si="26"/>
        <v>2026</v>
      </c>
      <c r="F37" s="240" t="s">
        <v>352</v>
      </c>
      <c r="G37" s="241">
        <f t="shared" si="27"/>
        <v>31</v>
      </c>
      <c r="H37" s="246">
        <f t="shared" si="20"/>
        <v>197.2</v>
      </c>
      <c r="I37" s="246">
        <f t="shared" si="21"/>
        <v>213.9</v>
      </c>
      <c r="J37" s="243"/>
      <c r="K37" s="242">
        <f t="shared" si="22"/>
        <v>29.58</v>
      </c>
      <c r="L37" s="241"/>
      <c r="M37" s="244">
        <f t="shared" si="11"/>
        <v>3848.0639978122849</v>
      </c>
      <c r="N37" s="244">
        <v>24.303100000000001</v>
      </c>
      <c r="O37" s="245">
        <f t="shared" si="14"/>
        <v>0.74023536153896807</v>
      </c>
      <c r="P37" s="243">
        <f t="shared" si="15"/>
        <v>6.9</v>
      </c>
      <c r="Q37" s="241">
        <f>COUNTIFS('Daily KPI'!$D:$D,D37,'Daily KPI'!$I:$I,"&gt;0")</f>
        <v>0</v>
      </c>
      <c r="R37" s="244">
        <f t="shared" si="4"/>
        <v>0</v>
      </c>
      <c r="S37" s="244">
        <f>SUMIF($F$2:F37,F37,$R$2:R37)</f>
        <v>708.09677419354841</v>
      </c>
      <c r="T37" s="243">
        <f t="shared" si="28"/>
        <v>124.13109670362209</v>
      </c>
      <c r="U37" s="244">
        <f t="shared" si="29"/>
        <v>0</v>
      </c>
      <c r="V37" s="244">
        <f>SUMIF($F$2:F37,F37,$U$2:U37)</f>
        <v>12778.874677617574</v>
      </c>
      <c r="W37" s="245">
        <f t="shared" si="30"/>
        <v>0.21281766644245331</v>
      </c>
      <c r="X37" s="245" t="str">
        <f t="shared" si="8"/>
        <v/>
      </c>
      <c r="Y37" s="245">
        <f t="shared" si="31"/>
        <v>0.17387980734033961</v>
      </c>
      <c r="Z37" s="243" t="str">
        <f>IFERROR(AVERAGEIF('Daily KPI'!$D:$D,New_Modelling[[#This Row],[Month]],'Daily KPI'!$AB:$AB),"")</f>
        <v/>
      </c>
      <c r="AA37" s="246">
        <f>IFERROR(AVERAGEIF($F$2:F37,F37,$N$2:N37),"")</f>
        <v>24.303100000000001</v>
      </c>
      <c r="AB37" s="244"/>
      <c r="AC37" s="243"/>
      <c r="AD37" s="243"/>
      <c r="AE37" s="245">
        <v>0.995</v>
      </c>
      <c r="AF37" s="245">
        <v>0.995</v>
      </c>
      <c r="AG37" s="245"/>
      <c r="AH37" s="245"/>
      <c r="AI37" s="245"/>
      <c r="AJ37" s="245"/>
      <c r="AK37" s="245"/>
      <c r="AL37" s="245"/>
      <c r="AM37" s="253"/>
      <c r="AN37" s="254"/>
      <c r="AO37" s="254">
        <v>1637.7663813317126</v>
      </c>
      <c r="AP37" s="254">
        <v>2210.2976164805723</v>
      </c>
    </row>
  </sheetData>
  <phoneticPr fontId="18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1640625" defaultRowHeight="14.5" x14ac:dyDescent="0.35"/>
  <cols>
    <col min="1" max="1" width="16" customWidth="1"/>
    <col min="2" max="3" width="11.1796875" customWidth="1"/>
    <col min="4" max="4" width="12.453125" customWidth="1"/>
    <col min="5" max="5" width="14.1796875" customWidth="1"/>
    <col min="6" max="6" width="13" customWidth="1"/>
    <col min="7" max="7" width="10.81640625" customWidth="1"/>
    <col min="8" max="8" width="11.453125" customWidth="1"/>
    <col min="9" max="9" width="11.1796875" customWidth="1"/>
    <col min="10" max="10" width="10.453125" customWidth="1"/>
    <col min="11" max="11" width="9.81640625" customWidth="1"/>
    <col min="12" max="12" width="11.453125" bestFit="1" customWidth="1"/>
    <col min="13" max="14" width="21.81640625" customWidth="1"/>
    <col min="15" max="15" width="22" customWidth="1"/>
    <col min="16" max="16" width="15.81640625" customWidth="1"/>
    <col min="17" max="17" width="15.453125" customWidth="1"/>
    <col min="18" max="18" width="15" customWidth="1"/>
    <col min="19" max="20" width="16.453125" customWidth="1"/>
    <col min="21" max="22" width="15.81640625" customWidth="1"/>
    <col min="23" max="23" width="13.81640625" customWidth="1"/>
    <col min="25" max="25" width="11.453125" bestFit="1" customWidth="1"/>
    <col min="26" max="27" width="11.1796875" customWidth="1"/>
    <col min="28" max="28" width="12.453125" customWidth="1"/>
    <col min="29" max="29" width="14.1796875" customWidth="1"/>
    <col min="30" max="30" width="13" customWidth="1"/>
    <col min="31" max="31" width="10.81640625" customWidth="1"/>
    <col min="32" max="32" width="11.453125" customWidth="1"/>
    <col min="33" max="33" width="11.1796875" customWidth="1"/>
    <col min="34" max="34" width="10.453125" customWidth="1"/>
    <col min="35" max="35" width="9.81640625" customWidth="1"/>
    <col min="36" max="36" width="11.453125" bestFit="1" customWidth="1"/>
    <col min="37" max="37" width="21.81640625" customWidth="1"/>
    <col min="38" max="38" width="20.81640625" bestFit="1" customWidth="1"/>
    <col min="39" max="39" width="22" customWidth="1"/>
    <col min="40" max="40" width="15.81640625" customWidth="1"/>
    <col min="41" max="41" width="15.453125" customWidth="1"/>
    <col min="42" max="42" width="15" customWidth="1"/>
    <col min="43" max="44" width="16.453125" customWidth="1"/>
    <col min="45" max="45" width="15.81640625" customWidth="1"/>
    <col min="46" max="46" width="11.453125" customWidth="1"/>
    <col min="47" max="47" width="12.453125" customWidth="1"/>
    <col min="48" max="48" width="15.81640625" customWidth="1"/>
    <col min="49" max="49" width="12.1796875" customWidth="1"/>
    <col min="56" max="56" width="14.1796875" customWidth="1"/>
    <col min="57" max="58" width="11.1796875" customWidth="1"/>
    <col min="59" max="59" width="12.453125" customWidth="1"/>
    <col min="60" max="60" width="14.1796875" customWidth="1"/>
    <col min="61" max="61" width="13" customWidth="1"/>
    <col min="62" max="62" width="10.81640625" customWidth="1"/>
    <col min="63" max="63" width="11.453125" customWidth="1"/>
    <col min="64" max="64" width="11.1796875" customWidth="1"/>
    <col min="65" max="65" width="10.453125" customWidth="1"/>
    <col min="66" max="66" width="9.81640625" customWidth="1"/>
    <col min="67" max="67" width="11.453125" bestFit="1" customWidth="1"/>
    <col min="68" max="68" width="16.453125" customWidth="1"/>
    <col min="69" max="69" width="13.1796875" customWidth="1"/>
    <col min="70" max="70" width="14.453125" customWidth="1"/>
    <col min="71" max="71" width="15.81640625" customWidth="1"/>
    <col min="72" max="72" width="15.453125" customWidth="1"/>
    <col min="73" max="73" width="15" customWidth="1"/>
    <col min="74" max="75" width="16.453125" customWidth="1"/>
    <col min="76" max="76" width="15.81640625" customWidth="1"/>
    <col min="77" max="77" width="13.453125" customWidth="1"/>
    <col min="78" max="78" width="12.453125" customWidth="1"/>
    <col min="79" max="79" width="15.81640625" customWidth="1"/>
    <col min="80" max="80" width="12.1796875" customWidth="1"/>
    <col min="85" max="85" width="10.1796875" bestFit="1" customWidth="1"/>
    <col min="86" max="86" width="9.453125" bestFit="1" customWidth="1"/>
  </cols>
  <sheetData>
    <row r="1" spans="1:76" ht="29" x14ac:dyDescent="0.35">
      <c r="A1" s="13"/>
      <c r="B1" s="13" t="s">
        <v>248</v>
      </c>
      <c r="C1" s="13"/>
      <c r="D1" s="14" t="s">
        <v>574</v>
      </c>
      <c r="E1" s="15" t="s">
        <v>575</v>
      </c>
      <c r="F1" s="15" t="s">
        <v>576</v>
      </c>
      <c r="G1" s="15" t="s">
        <v>577</v>
      </c>
      <c r="H1" s="15" t="s">
        <v>578</v>
      </c>
      <c r="I1" s="15" t="s">
        <v>579</v>
      </c>
      <c r="J1" s="15" t="s">
        <v>580</v>
      </c>
      <c r="K1" s="15" t="s">
        <v>581</v>
      </c>
      <c r="L1" s="16" t="s">
        <v>582</v>
      </c>
      <c r="M1" s="16" t="s">
        <v>583</v>
      </c>
      <c r="P1" t="s">
        <v>190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248</v>
      </c>
      <c r="AA1" s="13"/>
      <c r="AB1" s="14" t="s">
        <v>584</v>
      </c>
      <c r="AC1" s="15" t="s">
        <v>585</v>
      </c>
      <c r="AD1" s="15" t="s">
        <v>586</v>
      </c>
      <c r="AE1" s="15" t="s">
        <v>587</v>
      </c>
      <c r="AF1" s="15" t="s">
        <v>588</v>
      </c>
      <c r="AG1" s="15" t="s">
        <v>589</v>
      </c>
      <c r="AH1" s="15" t="s">
        <v>590</v>
      </c>
      <c r="AI1" s="16"/>
      <c r="AJ1" s="16" t="s">
        <v>582</v>
      </c>
      <c r="AK1" s="16" t="s">
        <v>583</v>
      </c>
      <c r="AN1" t="s">
        <v>190</v>
      </c>
      <c r="AO1">
        <v>12.8</v>
      </c>
      <c r="BD1" s="13"/>
      <c r="BE1" s="13" t="s">
        <v>248</v>
      </c>
      <c r="BF1" s="13"/>
      <c r="BG1" s="14" t="s">
        <v>584</v>
      </c>
      <c r="BH1" s="15" t="s">
        <v>585</v>
      </c>
      <c r="BI1" s="15" t="s">
        <v>586</v>
      </c>
      <c r="BJ1" s="15" t="s">
        <v>587</v>
      </c>
      <c r="BK1" s="15" t="s">
        <v>588</v>
      </c>
      <c r="BL1" s="15" t="s">
        <v>589</v>
      </c>
      <c r="BM1" s="15" t="s">
        <v>590</v>
      </c>
      <c r="BN1" s="16"/>
      <c r="BO1" s="16" t="s">
        <v>582</v>
      </c>
      <c r="BP1" s="16" t="s">
        <v>583</v>
      </c>
      <c r="BS1" t="s">
        <v>190</v>
      </c>
      <c r="BT1">
        <v>12.8</v>
      </c>
    </row>
    <row r="2" spans="1:76" x14ac:dyDescent="0.35">
      <c r="A2" s="17">
        <v>31</v>
      </c>
      <c r="B2" s="17" t="s">
        <v>591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592</v>
      </c>
      <c r="Q2" s="23">
        <v>7.0000000000000001E-3</v>
      </c>
      <c r="T2">
        <v>1707.5219412049223</v>
      </c>
      <c r="Y2" s="17">
        <v>31</v>
      </c>
      <c r="Z2" s="17" t="s">
        <v>311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592</v>
      </c>
      <c r="AO2" s="23">
        <v>4.4999999999999997E-3</v>
      </c>
      <c r="BD2" s="17">
        <v>31</v>
      </c>
      <c r="BE2" s="17" t="s">
        <v>311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592</v>
      </c>
      <c r="BT2" s="23">
        <v>4.4999999999999997E-3</v>
      </c>
    </row>
    <row r="3" spans="1:76" x14ac:dyDescent="0.35">
      <c r="A3" s="17">
        <v>28</v>
      </c>
      <c r="B3" s="17" t="s">
        <v>593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594</v>
      </c>
      <c r="Q3" s="23">
        <v>0</v>
      </c>
      <c r="T3">
        <v>1539.0224145530378</v>
      </c>
      <c r="Y3" s="17">
        <v>28</v>
      </c>
      <c r="Z3" s="17" t="s">
        <v>316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594</v>
      </c>
      <c r="AO3" s="23">
        <v>0</v>
      </c>
      <c r="BD3" s="17">
        <v>28</v>
      </c>
      <c r="BE3" s="17" t="s">
        <v>316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594</v>
      </c>
      <c r="BT3" s="23">
        <v>0</v>
      </c>
    </row>
    <row r="4" spans="1:76" x14ac:dyDescent="0.35">
      <c r="A4" s="17">
        <v>31</v>
      </c>
      <c r="B4" s="17" t="s">
        <v>595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320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320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35">
      <c r="A5" s="17">
        <v>30</v>
      </c>
      <c r="B5" s="17" t="s">
        <v>596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266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266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35">
      <c r="A6" s="17">
        <v>31</v>
      </c>
      <c r="B6" s="17" t="s">
        <v>597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272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272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35">
      <c r="A7" s="17">
        <v>30</v>
      </c>
      <c r="B7" s="17" t="s">
        <v>598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277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277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35">
      <c r="A8" s="17">
        <v>31</v>
      </c>
      <c r="B8" s="17" t="s">
        <v>599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282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282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35">
      <c r="A9" s="17">
        <v>31</v>
      </c>
      <c r="B9" s="17" t="s">
        <v>600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287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287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35">
      <c r="A10" s="17">
        <v>30</v>
      </c>
      <c r="B10" s="17" t="s">
        <v>601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291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291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35">
      <c r="A11" s="17">
        <v>31</v>
      </c>
      <c r="B11" s="17" t="s">
        <v>602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296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296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35">
      <c r="A12" s="17">
        <v>30</v>
      </c>
      <c r="B12" s="17" t="s">
        <v>603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301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301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35">
      <c r="A13" s="17">
        <v>31</v>
      </c>
      <c r="B13" s="17" t="s">
        <v>604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306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306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35">
      <c r="A14" s="17">
        <f>SUM(A2:A13)</f>
        <v>365</v>
      </c>
      <c r="B14" s="17" t="s">
        <v>605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3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 x14ac:dyDescent="0.35">
      <c r="A17" s="29" t="s">
        <v>72</v>
      </c>
      <c r="B17" s="30" t="s">
        <v>117</v>
      </c>
      <c r="C17" s="30" t="s">
        <v>116</v>
      </c>
      <c r="D17" s="30" t="s">
        <v>118</v>
      </c>
      <c r="E17" s="30" t="s">
        <v>119</v>
      </c>
      <c r="F17" s="30" t="s">
        <v>120</v>
      </c>
      <c r="G17" s="30" t="s">
        <v>75</v>
      </c>
      <c r="H17" s="30" t="s">
        <v>606</v>
      </c>
      <c r="I17" s="31" t="s">
        <v>248</v>
      </c>
      <c r="J17" s="31" t="s">
        <v>607</v>
      </c>
      <c r="K17" s="31" t="s">
        <v>608</v>
      </c>
      <c r="L17" s="31" t="s">
        <v>609</v>
      </c>
      <c r="M17" s="30" t="s">
        <v>610</v>
      </c>
      <c r="N17" s="30" t="s">
        <v>611</v>
      </c>
      <c r="O17" s="30" t="s">
        <v>612</v>
      </c>
      <c r="P17" s="30" t="s">
        <v>613</v>
      </c>
      <c r="Q17" s="30" t="s">
        <v>614</v>
      </c>
      <c r="R17" s="30" t="s">
        <v>615</v>
      </c>
      <c r="S17" s="30" t="s">
        <v>616</v>
      </c>
      <c r="T17" s="30" t="s">
        <v>617</v>
      </c>
      <c r="U17" s="32" t="s">
        <v>618</v>
      </c>
      <c r="V17" s="30" t="s">
        <v>619</v>
      </c>
      <c r="Y17" s="29" t="s">
        <v>72</v>
      </c>
      <c r="Z17" s="30" t="s">
        <v>117</v>
      </c>
      <c r="AA17" s="30" t="s">
        <v>116</v>
      </c>
      <c r="AB17" s="30" t="s">
        <v>118</v>
      </c>
      <c r="AC17" s="30" t="s">
        <v>119</v>
      </c>
      <c r="AD17" s="30" t="s">
        <v>120</v>
      </c>
      <c r="AE17" s="30" t="s">
        <v>75</v>
      </c>
      <c r="AF17" s="30" t="s">
        <v>606</v>
      </c>
      <c r="AG17" s="31" t="s">
        <v>248</v>
      </c>
      <c r="AH17" s="31" t="s">
        <v>607</v>
      </c>
      <c r="AI17" s="31" t="s">
        <v>608</v>
      </c>
      <c r="AJ17" s="31" t="s">
        <v>609</v>
      </c>
      <c r="AK17" s="30" t="s">
        <v>610</v>
      </c>
      <c r="AL17" s="30" t="s">
        <v>611</v>
      </c>
      <c r="AM17" s="30" t="s">
        <v>612</v>
      </c>
      <c r="AN17" s="30" t="s">
        <v>613</v>
      </c>
      <c r="AO17" s="30" t="s">
        <v>614</v>
      </c>
      <c r="AP17" s="30" t="s">
        <v>615</v>
      </c>
      <c r="AQ17" s="30" t="s">
        <v>616</v>
      </c>
      <c r="AR17" s="30" t="s">
        <v>617</v>
      </c>
      <c r="AS17" s="32" t="s">
        <v>618</v>
      </c>
      <c r="AT17" s="30" t="s">
        <v>620</v>
      </c>
      <c r="AU17" s="30" t="s">
        <v>621</v>
      </c>
      <c r="AV17" s="30" t="s">
        <v>622</v>
      </c>
      <c r="AW17" s="30" t="s">
        <v>623</v>
      </c>
      <c r="BD17" s="29" t="s">
        <v>72</v>
      </c>
      <c r="BE17" s="30" t="s">
        <v>117</v>
      </c>
      <c r="BF17" s="30" t="s">
        <v>116</v>
      </c>
      <c r="BG17" s="30" t="s">
        <v>118</v>
      </c>
      <c r="BH17" s="30" t="s">
        <v>119</v>
      </c>
      <c r="BI17" s="30" t="s">
        <v>120</v>
      </c>
      <c r="BJ17" s="30" t="s">
        <v>75</v>
      </c>
      <c r="BK17" s="30" t="s">
        <v>606</v>
      </c>
      <c r="BL17" s="31" t="s">
        <v>248</v>
      </c>
      <c r="BM17" s="31" t="s">
        <v>607</v>
      </c>
      <c r="BN17" s="31" t="s">
        <v>608</v>
      </c>
      <c r="BO17" s="31" t="s">
        <v>609</v>
      </c>
      <c r="BP17" s="30" t="s">
        <v>610</v>
      </c>
      <c r="BQ17" s="30" t="s">
        <v>611</v>
      </c>
      <c r="BR17" s="30" t="s">
        <v>612</v>
      </c>
      <c r="BS17" s="30" t="s">
        <v>613</v>
      </c>
      <c r="BT17" s="30" t="s">
        <v>614</v>
      </c>
      <c r="BU17" s="30" t="s">
        <v>615</v>
      </c>
      <c r="BV17" s="30" t="s">
        <v>616</v>
      </c>
      <c r="BW17" s="30" t="s">
        <v>617</v>
      </c>
      <c r="BX17" s="32" t="s">
        <v>618</v>
      </c>
      <c r="BY17" s="30" t="s">
        <v>620</v>
      </c>
      <c r="BZ17" s="30" t="s">
        <v>621</v>
      </c>
      <c r="CA17" s="30" t="s">
        <v>622</v>
      </c>
      <c r="CB17" s="30" t="s">
        <v>623</v>
      </c>
      <c r="CG17" t="s">
        <v>624</v>
      </c>
      <c r="CH17" t="s">
        <v>625</v>
      </c>
    </row>
    <row r="18" spans="1:86" x14ac:dyDescent="0.3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626</v>
      </c>
      <c r="F18" s="5" t="s">
        <v>626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626</v>
      </c>
      <c r="AD18" s="5" t="s">
        <v>626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626</v>
      </c>
      <c r="BI18" s="5" t="s">
        <v>626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3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626</v>
      </c>
      <c r="F19" s="5" t="s">
        <v>626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626</v>
      </c>
      <c r="AD19" s="5" t="s">
        <v>626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626</v>
      </c>
      <c r="BI19" s="5" t="s">
        <v>626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3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626</v>
      </c>
      <c r="F20" s="5" t="s">
        <v>626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626</v>
      </c>
      <c r="AD20" s="5" t="s">
        <v>626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626</v>
      </c>
      <c r="BI20" s="5" t="s">
        <v>626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3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626</v>
      </c>
      <c r="F21" s="5" t="s">
        <v>626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626</v>
      </c>
      <c r="AD21" s="5" t="s">
        <v>626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626</v>
      </c>
      <c r="BI21" s="5" t="s">
        <v>626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3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626</v>
      </c>
      <c r="F22" s="5" t="s">
        <v>626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626</v>
      </c>
      <c r="AD22" s="5" t="s">
        <v>626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626</v>
      </c>
      <c r="BI22" s="5" t="s">
        <v>626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3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626</v>
      </c>
      <c r="F23" s="5" t="s">
        <v>626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626</v>
      </c>
      <c r="AD23" s="5" t="s">
        <v>626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626</v>
      </c>
      <c r="BI23" s="5" t="s">
        <v>626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3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626</v>
      </c>
      <c r="F24" s="5" t="s">
        <v>626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626</v>
      </c>
      <c r="AD24" s="5" t="s">
        <v>626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626</v>
      </c>
      <c r="BI24" s="5" t="s">
        <v>626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3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626</v>
      </c>
      <c r="F25" s="5" t="s">
        <v>626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626</v>
      </c>
      <c r="AD25" s="5" t="s">
        <v>626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626</v>
      </c>
      <c r="BI25" s="5" t="s">
        <v>626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3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626</v>
      </c>
      <c r="F26" s="5" t="s">
        <v>626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626</v>
      </c>
      <c r="AD26" s="5" t="s">
        <v>626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626</v>
      </c>
      <c r="BI26" s="5" t="s">
        <v>626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3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626</v>
      </c>
      <c r="F27" s="5" t="s">
        <v>626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626</v>
      </c>
      <c r="AD27" s="5" t="s">
        <v>626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626</v>
      </c>
      <c r="BI27" s="5" t="s">
        <v>626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3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626</v>
      </c>
      <c r="F28" s="5" t="s">
        <v>626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626</v>
      </c>
      <c r="AD28" s="5" t="s">
        <v>626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626</v>
      </c>
      <c r="BI28" s="5" t="s">
        <v>626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3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626</v>
      </c>
      <c r="F29" s="5" t="s">
        <v>626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626</v>
      </c>
      <c r="AD29" s="5" t="s">
        <v>626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626</v>
      </c>
      <c r="BI29" s="5" t="s">
        <v>626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3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626</v>
      </c>
      <c r="F30" s="5" t="s">
        <v>626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626</v>
      </c>
      <c r="AD30" s="5" t="s">
        <v>626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626</v>
      </c>
      <c r="BI30" s="5" t="s">
        <v>626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3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626</v>
      </c>
      <c r="F31" s="5" t="s">
        <v>626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626</v>
      </c>
      <c r="AD31" s="5" t="s">
        <v>626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626</v>
      </c>
      <c r="BI31" s="5" t="s">
        <v>626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3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626</v>
      </c>
      <c r="F32" s="5" t="s">
        <v>626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626</v>
      </c>
      <c r="AD32" s="5" t="s">
        <v>626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626</v>
      </c>
      <c r="BI32" s="5" t="s">
        <v>626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3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626</v>
      </c>
      <c r="F33" s="5" t="s">
        <v>626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626</v>
      </c>
      <c r="AD33" s="5" t="s">
        <v>626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626</v>
      </c>
      <c r="BI33" s="5" t="s">
        <v>626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3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626</v>
      </c>
      <c r="F34" s="5" t="s">
        <v>626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626</v>
      </c>
      <c r="AD34" s="5" t="s">
        <v>626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626</v>
      </c>
      <c r="BI34" s="5" t="s">
        <v>626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3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626</v>
      </c>
      <c r="F35" s="5" t="s">
        <v>626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626</v>
      </c>
      <c r="AD35" s="5" t="s">
        <v>626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626</v>
      </c>
      <c r="BI35" s="5" t="s">
        <v>626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3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626</v>
      </c>
      <c r="F36" s="5" t="s">
        <v>626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626</v>
      </c>
      <c r="AD36" s="5" t="s">
        <v>626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626</v>
      </c>
      <c r="BI36" s="5" t="s">
        <v>626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3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626</v>
      </c>
      <c r="F37" s="5" t="s">
        <v>626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626</v>
      </c>
      <c r="AD37" s="5" t="s">
        <v>626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626</v>
      </c>
      <c r="BI37" s="5" t="s">
        <v>626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3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626</v>
      </c>
      <c r="F38" s="5" t="s">
        <v>626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626</v>
      </c>
      <c r="AD38" s="5" t="s">
        <v>626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626</v>
      </c>
      <c r="BI38" s="5" t="s">
        <v>626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3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626</v>
      </c>
      <c r="F39" s="5" t="s">
        <v>626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626</v>
      </c>
      <c r="AD39" s="5" t="s">
        <v>626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626</v>
      </c>
      <c r="BI39" s="5" t="s">
        <v>626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3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626</v>
      </c>
      <c r="F40" s="5" t="s">
        <v>626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626</v>
      </c>
      <c r="AD40" s="5" t="s">
        <v>626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626</v>
      </c>
      <c r="BI40" s="5" t="s">
        <v>626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3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626</v>
      </c>
      <c r="F41" s="5" t="s">
        <v>626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626</v>
      </c>
      <c r="AD41" s="5" t="s">
        <v>626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626</v>
      </c>
      <c r="BI41" s="5" t="s">
        <v>626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3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626</v>
      </c>
      <c r="F42" s="5" t="s">
        <v>626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626</v>
      </c>
      <c r="AD42" s="5" t="s">
        <v>626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626</v>
      </c>
      <c r="BI42" s="5" t="s">
        <v>626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3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626</v>
      </c>
      <c r="F43" s="5" t="s">
        <v>626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626</v>
      </c>
      <c r="AD43" s="5" t="s">
        <v>626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626</v>
      </c>
      <c r="BI43" s="5" t="s">
        <v>626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3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626</v>
      </c>
      <c r="F44" s="5" t="s">
        <v>626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626</v>
      </c>
      <c r="AD44" s="5" t="s">
        <v>626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626</v>
      </c>
      <c r="BI44" s="5" t="s">
        <v>626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3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626</v>
      </c>
      <c r="F45" s="5" t="s">
        <v>626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626</v>
      </c>
      <c r="AD45" s="5" t="s">
        <v>626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626</v>
      </c>
      <c r="BI45" s="5" t="s">
        <v>626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3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626</v>
      </c>
      <c r="F46" s="5" t="s">
        <v>626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626</v>
      </c>
      <c r="AD46" s="5" t="s">
        <v>626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626</v>
      </c>
      <c r="BI46" s="5" t="s">
        <v>626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3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626</v>
      </c>
      <c r="F47" s="5" t="s">
        <v>626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626</v>
      </c>
      <c r="AD47" s="5" t="s">
        <v>626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626</v>
      </c>
      <c r="BI47" s="5" t="s">
        <v>626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3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626</v>
      </c>
      <c r="F48" s="5" t="s">
        <v>626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626</v>
      </c>
      <c r="AD48" s="5" t="s">
        <v>626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626</v>
      </c>
      <c r="BI48" s="5" t="s">
        <v>626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3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626</v>
      </c>
      <c r="F49" s="5" t="s">
        <v>626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626</v>
      </c>
      <c r="AD49" s="5" t="s">
        <v>626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626</v>
      </c>
      <c r="BI49" s="5" t="s">
        <v>626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3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626</v>
      </c>
      <c r="F50" s="5" t="s">
        <v>626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626</v>
      </c>
      <c r="AD50" s="5" t="s">
        <v>626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626</v>
      </c>
      <c r="BI50" s="5" t="s">
        <v>626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3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626</v>
      </c>
      <c r="F51" s="5" t="s">
        <v>626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626</v>
      </c>
      <c r="AD51" s="5" t="s">
        <v>626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626</v>
      </c>
      <c r="BI51" s="5" t="s">
        <v>626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3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626</v>
      </c>
      <c r="F52" s="5" t="s">
        <v>626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626</v>
      </c>
      <c r="AD52" s="5" t="s">
        <v>626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626</v>
      </c>
      <c r="BI52" s="5" t="s">
        <v>626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3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626</v>
      </c>
      <c r="F53" s="5" t="s">
        <v>626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626</v>
      </c>
      <c r="AD53" s="5" t="s">
        <v>626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626</v>
      </c>
      <c r="BI53" s="5" t="s">
        <v>626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3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626</v>
      </c>
      <c r="F54" s="5" t="s">
        <v>626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626</v>
      </c>
      <c r="AD54" s="5" t="s">
        <v>626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626</v>
      </c>
      <c r="BI54" s="5" t="s">
        <v>626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3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626</v>
      </c>
      <c r="F55" s="5" t="s">
        <v>626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626</v>
      </c>
      <c r="AD55" s="5" t="s">
        <v>626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626</v>
      </c>
      <c r="BI55" s="5" t="s">
        <v>626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3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626</v>
      </c>
      <c r="F56" s="5" t="s">
        <v>626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626</v>
      </c>
      <c r="AD56" s="5" t="s">
        <v>626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626</v>
      </c>
      <c r="BI56" s="5" t="s">
        <v>626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3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626</v>
      </c>
      <c r="F57" s="5" t="s">
        <v>626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626</v>
      </c>
      <c r="AD57" s="5" t="s">
        <v>626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626</v>
      </c>
      <c r="BI57" s="5" t="s">
        <v>626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3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626</v>
      </c>
      <c r="F58" s="5" t="s">
        <v>626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626</v>
      </c>
      <c r="AD58" s="5" t="s">
        <v>626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626</v>
      </c>
      <c r="BI58" s="5" t="s">
        <v>626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3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626</v>
      </c>
      <c r="F59" s="5" t="s">
        <v>626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626</v>
      </c>
      <c r="AD59" s="5" t="s">
        <v>626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626</v>
      </c>
      <c r="BI59" s="5" t="s">
        <v>626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3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626</v>
      </c>
      <c r="F60" s="5" t="s">
        <v>626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626</v>
      </c>
      <c r="AD60" s="5" t="s">
        <v>626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626</v>
      </c>
      <c r="BI60" s="5" t="s">
        <v>626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3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626</v>
      </c>
      <c r="F61" s="5" t="s">
        <v>626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626</v>
      </c>
      <c r="AD61" s="5" t="s">
        <v>626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626</v>
      </c>
      <c r="BI61" s="5" t="s">
        <v>626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3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626</v>
      </c>
      <c r="F62" s="5" t="s">
        <v>626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626</v>
      </c>
      <c r="AD62" s="5" t="s">
        <v>626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626</v>
      </c>
      <c r="BI62" s="5" t="s">
        <v>626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3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626</v>
      </c>
      <c r="F63" s="5" t="s">
        <v>626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626</v>
      </c>
      <c r="AD63" s="5" t="s">
        <v>626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626</v>
      </c>
      <c r="BI63" s="5" t="s">
        <v>626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3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626</v>
      </c>
      <c r="F64" s="5" t="s">
        <v>626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626</v>
      </c>
      <c r="AD64" s="5" t="s">
        <v>626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626</v>
      </c>
      <c r="BI64" s="5" t="s">
        <v>626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3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626</v>
      </c>
      <c r="F65" s="5" t="s">
        <v>626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626</v>
      </c>
      <c r="AD65" s="5" t="s">
        <v>626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626</v>
      </c>
      <c r="BI65" s="5" t="s">
        <v>626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3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626</v>
      </c>
      <c r="F66" s="5" t="s">
        <v>626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626</v>
      </c>
      <c r="AD66" s="5" t="s">
        <v>626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626</v>
      </c>
      <c r="BI66" s="5" t="s">
        <v>626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3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626</v>
      </c>
      <c r="F67" s="5" t="s">
        <v>626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626</v>
      </c>
      <c r="AD67" s="5" t="s">
        <v>626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626</v>
      </c>
      <c r="BI67" s="5" t="s">
        <v>626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3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626</v>
      </c>
      <c r="F68" s="5" t="s">
        <v>626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626</v>
      </c>
      <c r="AD68" s="5" t="s">
        <v>626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626</v>
      </c>
      <c r="BI68" s="5" t="s">
        <v>626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3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626</v>
      </c>
      <c r="F69" s="5" t="s">
        <v>626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626</v>
      </c>
      <c r="AD69" s="5" t="s">
        <v>626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626</v>
      </c>
      <c r="BI69" s="5" t="s">
        <v>626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3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626</v>
      </c>
      <c r="F70" s="5" t="s">
        <v>626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626</v>
      </c>
      <c r="AD70" s="5" t="s">
        <v>626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626</v>
      </c>
      <c r="BI70" s="5" t="s">
        <v>626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3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626</v>
      </c>
      <c r="F71" s="5" t="s">
        <v>626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626</v>
      </c>
      <c r="AD71" s="5" t="s">
        <v>626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626</v>
      </c>
      <c r="BI71" s="5" t="s">
        <v>626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3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626</v>
      </c>
      <c r="F72" s="5" t="s">
        <v>626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626</v>
      </c>
      <c r="AD72" s="5" t="s">
        <v>626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626</v>
      </c>
      <c r="BI72" s="5" t="s">
        <v>626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3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626</v>
      </c>
      <c r="F73" s="5" t="s">
        <v>626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626</v>
      </c>
      <c r="AD73" s="5" t="s">
        <v>626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626</v>
      </c>
      <c r="BI73" s="5" t="s">
        <v>626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3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626</v>
      </c>
      <c r="F74" s="5" t="s">
        <v>626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626</v>
      </c>
      <c r="AD74" s="5" t="s">
        <v>626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626</v>
      </c>
      <c r="BI74" s="5" t="s">
        <v>626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3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626</v>
      </c>
      <c r="F75" s="5" t="s">
        <v>626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626</v>
      </c>
      <c r="AD75" s="5" t="s">
        <v>626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626</v>
      </c>
      <c r="BI75" s="5" t="s">
        <v>626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3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626</v>
      </c>
      <c r="F76" s="5" t="s">
        <v>626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626</v>
      </c>
      <c r="AD76" s="5" t="s">
        <v>626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626</v>
      </c>
      <c r="BI76" s="5" t="s">
        <v>626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3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626</v>
      </c>
      <c r="F77" s="5" t="s">
        <v>626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626</v>
      </c>
      <c r="AD77" s="5" t="s">
        <v>626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626</v>
      </c>
      <c r="BI77" s="5" t="s">
        <v>626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3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626</v>
      </c>
      <c r="F78" s="5" t="s">
        <v>626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626</v>
      </c>
      <c r="AD78" s="5" t="s">
        <v>626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626</v>
      </c>
      <c r="BI78" s="5" t="s">
        <v>626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3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626</v>
      </c>
      <c r="F79" s="5" t="s">
        <v>626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626</v>
      </c>
      <c r="AD79" s="5" t="s">
        <v>626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626</v>
      </c>
      <c r="BI79" s="5" t="s">
        <v>626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3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626</v>
      </c>
      <c r="F80" s="5" t="s">
        <v>626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626</v>
      </c>
      <c r="AD80" s="5" t="s">
        <v>626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626</v>
      </c>
      <c r="BI80" s="5" t="s">
        <v>626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3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626</v>
      </c>
      <c r="F81" s="5" t="s">
        <v>626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626</v>
      </c>
      <c r="AD81" s="5" t="s">
        <v>626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626</v>
      </c>
      <c r="BI81" s="5" t="s">
        <v>626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3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626</v>
      </c>
      <c r="F82" s="5" t="s">
        <v>626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626</v>
      </c>
      <c r="AD82" s="5" t="s">
        <v>626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626</v>
      </c>
      <c r="BI82" s="5" t="s">
        <v>626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3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626</v>
      </c>
      <c r="F83" s="5" t="s">
        <v>626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626</v>
      </c>
      <c r="AD83" s="5" t="s">
        <v>626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626</v>
      </c>
      <c r="BI83" s="5" t="s">
        <v>626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3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626</v>
      </c>
      <c r="F84" s="5" t="s">
        <v>626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626</v>
      </c>
      <c r="AD84" s="5" t="s">
        <v>626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626</v>
      </c>
      <c r="BI84" s="5" t="s">
        <v>626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3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626</v>
      </c>
      <c r="F85" s="5" t="s">
        <v>626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626</v>
      </c>
      <c r="AD85" s="5" t="s">
        <v>626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626</v>
      </c>
      <c r="BI85" s="5" t="s">
        <v>626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3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626</v>
      </c>
      <c r="F86" s="5" t="s">
        <v>626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626</v>
      </c>
      <c r="AD86" s="5" t="s">
        <v>626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626</v>
      </c>
      <c r="BI86" s="5" t="s">
        <v>626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3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626</v>
      </c>
      <c r="F87" s="5" t="s">
        <v>626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626</v>
      </c>
      <c r="AD87" s="5" t="s">
        <v>626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626</v>
      </c>
      <c r="BI87" s="5" t="s">
        <v>626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3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626</v>
      </c>
      <c r="F88" s="5" t="s">
        <v>626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626</v>
      </c>
      <c r="AD88" s="5" t="s">
        <v>626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626</v>
      </c>
      <c r="BI88" s="5" t="s">
        <v>626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3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626</v>
      </c>
      <c r="F89" s="5" t="s">
        <v>626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626</v>
      </c>
      <c r="AD89" s="5" t="s">
        <v>626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626</v>
      </c>
      <c r="BI89" s="5" t="s">
        <v>626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3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626</v>
      </c>
      <c r="F90" s="5" t="s">
        <v>626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626</v>
      </c>
      <c r="AD90" s="5" t="s">
        <v>626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626</v>
      </c>
      <c r="BI90" s="5" t="s">
        <v>626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3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626</v>
      </c>
      <c r="F91" s="5" t="s">
        <v>626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626</v>
      </c>
      <c r="AD91" s="5" t="s">
        <v>626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626</v>
      </c>
      <c r="BI91" s="5" t="s">
        <v>626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3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626</v>
      </c>
      <c r="F92" s="5" t="s">
        <v>626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626</v>
      </c>
      <c r="AD92" s="5" t="s">
        <v>626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626</v>
      </c>
      <c r="BI92" s="5" t="s">
        <v>626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3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626</v>
      </c>
      <c r="F93" s="5" t="s">
        <v>626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626</v>
      </c>
      <c r="AD93" s="5" t="s">
        <v>626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626</v>
      </c>
      <c r="BI93" s="5" t="s">
        <v>626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3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626</v>
      </c>
      <c r="F94" s="5" t="s">
        <v>626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626</v>
      </c>
      <c r="AD94" s="5" t="s">
        <v>626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626</v>
      </c>
      <c r="BI94" s="5" t="s">
        <v>626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3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626</v>
      </c>
      <c r="F95" s="5" t="s">
        <v>626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626</v>
      </c>
      <c r="AD95" s="5" t="s">
        <v>626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626</v>
      </c>
      <c r="BI95" s="5" t="s">
        <v>626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3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626</v>
      </c>
      <c r="F96" s="5" t="s">
        <v>626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626</v>
      </c>
      <c r="AD96" s="5" t="s">
        <v>626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626</v>
      </c>
      <c r="BI96" s="5" t="s">
        <v>626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3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626</v>
      </c>
      <c r="F97" s="5" t="s">
        <v>626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626</v>
      </c>
      <c r="AD97" s="5" t="s">
        <v>626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626</v>
      </c>
      <c r="BI97" s="5" t="s">
        <v>626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3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626</v>
      </c>
      <c r="F98" s="5" t="s">
        <v>626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626</v>
      </c>
      <c r="AD98" s="5" t="s">
        <v>626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626</v>
      </c>
      <c r="BI98" s="5" t="s">
        <v>626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3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626</v>
      </c>
      <c r="F99" s="5" t="s">
        <v>626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626</v>
      </c>
      <c r="AD99" s="5" t="s">
        <v>626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626</v>
      </c>
      <c r="BI99" s="5" t="s">
        <v>626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3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626</v>
      </c>
      <c r="F100" s="5" t="s">
        <v>626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626</v>
      </c>
      <c r="AD100" s="5" t="s">
        <v>626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626</v>
      </c>
      <c r="BI100" s="5" t="s">
        <v>626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3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626</v>
      </c>
      <c r="F101" s="5" t="s">
        <v>626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626</v>
      </c>
      <c r="AD101" s="5" t="s">
        <v>626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626</v>
      </c>
      <c r="BI101" s="5" t="s">
        <v>626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3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626</v>
      </c>
      <c r="F102" s="5" t="s">
        <v>626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626</v>
      </c>
      <c r="AD102" s="5" t="s">
        <v>626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626</v>
      </c>
      <c r="BI102" s="5" t="s">
        <v>626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3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626</v>
      </c>
      <c r="F103" s="5" t="s">
        <v>626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626</v>
      </c>
      <c r="AD103" s="5" t="s">
        <v>626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626</v>
      </c>
      <c r="BI103" s="5" t="s">
        <v>626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3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626</v>
      </c>
      <c r="F104" s="5" t="s">
        <v>626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626</v>
      </c>
      <c r="AD104" s="5" t="s">
        <v>626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626</v>
      </c>
      <c r="BI104" s="5" t="s">
        <v>626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3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626</v>
      </c>
      <c r="F105" s="5" t="s">
        <v>626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626</v>
      </c>
      <c r="AD105" s="5" t="s">
        <v>626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626</v>
      </c>
      <c r="BI105" s="5" t="s">
        <v>626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3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626</v>
      </c>
      <c r="F106" s="5" t="s">
        <v>626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626</v>
      </c>
      <c r="AD106" s="5" t="s">
        <v>626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626</v>
      </c>
      <c r="BI106" s="5" t="s">
        <v>626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3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626</v>
      </c>
      <c r="F107" s="5" t="s">
        <v>626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626</v>
      </c>
      <c r="AD107" s="5" t="s">
        <v>626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626</v>
      </c>
      <c r="BI107" s="5" t="s">
        <v>626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3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626</v>
      </c>
      <c r="F108" s="5" t="s">
        <v>626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626</v>
      </c>
      <c r="AD108" s="5" t="s">
        <v>626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626</v>
      </c>
      <c r="BI108" s="5" t="s">
        <v>626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3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626</v>
      </c>
      <c r="F109" s="5" t="s">
        <v>626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626</v>
      </c>
      <c r="AD109" s="5" t="s">
        <v>626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626</v>
      </c>
      <c r="BI109" s="5" t="s">
        <v>626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3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626</v>
      </c>
      <c r="F110" s="5" t="s">
        <v>626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626</v>
      </c>
      <c r="AD110" s="5" t="s">
        <v>626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626</v>
      </c>
      <c r="BI110" s="5" t="s">
        <v>626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3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626</v>
      </c>
      <c r="F111" s="5" t="s">
        <v>626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626</v>
      </c>
      <c r="AD111" s="5" t="s">
        <v>626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626</v>
      </c>
      <c r="BI111" s="5" t="s">
        <v>626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3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626</v>
      </c>
      <c r="F112" s="5" t="s">
        <v>626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626</v>
      </c>
      <c r="AD112" s="5" t="s">
        <v>626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626</v>
      </c>
      <c r="BI112" s="5" t="s">
        <v>626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3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626</v>
      </c>
      <c r="F113" s="5" t="s">
        <v>626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626</v>
      </c>
      <c r="AD113" s="5" t="s">
        <v>626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626</v>
      </c>
      <c r="BI113" s="5" t="s">
        <v>626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3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626</v>
      </c>
      <c r="F114" s="5" t="s">
        <v>626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626</v>
      </c>
      <c r="AD114" s="5" t="s">
        <v>626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626</v>
      </c>
      <c r="BI114" s="5" t="s">
        <v>626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3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626</v>
      </c>
      <c r="F115" s="5" t="s">
        <v>626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626</v>
      </c>
      <c r="AD115" s="5" t="s">
        <v>626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626</v>
      </c>
      <c r="BI115" s="5" t="s">
        <v>626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3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626</v>
      </c>
      <c r="F116" s="5" t="s">
        <v>626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626</v>
      </c>
      <c r="AD116" s="5" t="s">
        <v>626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626</v>
      </c>
      <c r="BI116" s="5" t="s">
        <v>626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3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626</v>
      </c>
      <c r="F117" s="5" t="s">
        <v>626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626</v>
      </c>
      <c r="AD117" s="5" t="s">
        <v>626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626</v>
      </c>
      <c r="BI117" s="5" t="s">
        <v>626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3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626</v>
      </c>
      <c r="F118" s="5" t="s">
        <v>626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626</v>
      </c>
      <c r="AD118" s="5" t="s">
        <v>626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626</v>
      </c>
      <c r="BI118" s="5" t="s">
        <v>626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3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626</v>
      </c>
      <c r="F119" s="5" t="s">
        <v>626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626</v>
      </c>
      <c r="AD119" s="5" t="s">
        <v>626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626</v>
      </c>
      <c r="BI119" s="5" t="s">
        <v>626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3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626</v>
      </c>
      <c r="F120" s="5" t="s">
        <v>626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626</v>
      </c>
      <c r="AD120" s="5" t="s">
        <v>626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626</v>
      </c>
      <c r="BI120" s="5" t="s">
        <v>626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3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626</v>
      </c>
      <c r="F121" s="5" t="s">
        <v>626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626</v>
      </c>
      <c r="AD121" s="5" t="s">
        <v>626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626</v>
      </c>
      <c r="BI121" s="5" t="s">
        <v>626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3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626</v>
      </c>
      <c r="F122" s="5" t="s">
        <v>626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626</v>
      </c>
      <c r="AD122" s="5" t="s">
        <v>626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626</v>
      </c>
      <c r="BI122" s="5" t="s">
        <v>626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3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626</v>
      </c>
      <c r="F123" s="5" t="s">
        <v>626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626</v>
      </c>
      <c r="AD123" s="5" t="s">
        <v>626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626</v>
      </c>
      <c r="BI123" s="5" t="s">
        <v>626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3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626</v>
      </c>
      <c r="F124" s="5" t="s">
        <v>626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626</v>
      </c>
      <c r="AD124" s="5" t="s">
        <v>626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626</v>
      </c>
      <c r="BI124" s="5" t="s">
        <v>626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3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626</v>
      </c>
      <c r="F125" s="5" t="s">
        <v>626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626</v>
      </c>
      <c r="AD125" s="5" t="s">
        <v>626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626</v>
      </c>
      <c r="BI125" s="5" t="s">
        <v>626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3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626</v>
      </c>
      <c r="F126" s="5" t="s">
        <v>626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626</v>
      </c>
      <c r="AD126" s="5" t="s">
        <v>626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626</v>
      </c>
      <c r="BI126" s="5" t="s">
        <v>626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3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626</v>
      </c>
      <c r="F127" s="5" t="s">
        <v>626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626</v>
      </c>
      <c r="AD127" s="5" t="s">
        <v>626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626</v>
      </c>
      <c r="BI127" s="5" t="s">
        <v>626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3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626</v>
      </c>
      <c r="F128" s="5" t="s">
        <v>626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626</v>
      </c>
      <c r="AD128" s="5" t="s">
        <v>626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626</v>
      </c>
      <c r="BI128" s="5" t="s">
        <v>626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3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626</v>
      </c>
      <c r="F129" s="5" t="s">
        <v>626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626</v>
      </c>
      <c r="AD129" s="5" t="s">
        <v>626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626</v>
      </c>
      <c r="BI129" s="5" t="s">
        <v>626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3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626</v>
      </c>
      <c r="F130" s="5" t="s">
        <v>626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626</v>
      </c>
      <c r="AD130" s="5" t="s">
        <v>626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626</v>
      </c>
      <c r="BI130" s="5" t="s">
        <v>626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3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626</v>
      </c>
      <c r="F131" s="5" t="s">
        <v>626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626</v>
      </c>
      <c r="AD131" s="5" t="s">
        <v>626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626</v>
      </c>
      <c r="BI131" s="5" t="s">
        <v>626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3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626</v>
      </c>
      <c r="F132" s="5" t="s">
        <v>626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626</v>
      </c>
      <c r="AD132" s="5" t="s">
        <v>626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626</v>
      </c>
      <c r="BI132" s="5" t="s">
        <v>626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3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626</v>
      </c>
      <c r="F133" s="5" t="s">
        <v>626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626</v>
      </c>
      <c r="AD133" s="5" t="s">
        <v>626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626</v>
      </c>
      <c r="BI133" s="5" t="s">
        <v>626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3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626</v>
      </c>
      <c r="F134" s="5" t="s">
        <v>626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626</v>
      </c>
      <c r="AD134" s="5" t="s">
        <v>626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626</v>
      </c>
      <c r="BI134" s="5" t="s">
        <v>626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3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626</v>
      </c>
      <c r="F135" s="5" t="s">
        <v>626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626</v>
      </c>
      <c r="AD135" s="5" t="s">
        <v>626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626</v>
      </c>
      <c r="BI135" s="5" t="s">
        <v>626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3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626</v>
      </c>
      <c r="F136" s="5" t="s">
        <v>626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626</v>
      </c>
      <c r="AD136" s="5" t="s">
        <v>626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626</v>
      </c>
      <c r="BI136" s="5" t="s">
        <v>626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3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626</v>
      </c>
      <c r="F137" s="5" t="s">
        <v>626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626</v>
      </c>
      <c r="AD137" s="5" t="s">
        <v>626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626</v>
      </c>
      <c r="BI137" s="5" t="s">
        <v>626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3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626</v>
      </c>
      <c r="F138" s="5" t="s">
        <v>626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626</v>
      </c>
      <c r="AD138" s="5" t="s">
        <v>626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626</v>
      </c>
      <c r="BI138" s="5" t="s">
        <v>626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3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626</v>
      </c>
      <c r="F139" s="5" t="s">
        <v>626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626</v>
      </c>
      <c r="AD139" s="5" t="s">
        <v>626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626</v>
      </c>
      <c r="BI139" s="5" t="s">
        <v>626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3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626</v>
      </c>
      <c r="F140" s="5" t="s">
        <v>626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626</v>
      </c>
      <c r="AD140" s="5" t="s">
        <v>626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626</v>
      </c>
      <c r="BI140" s="5" t="s">
        <v>626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3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626</v>
      </c>
      <c r="F141" s="5" t="s">
        <v>626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626</v>
      </c>
      <c r="AD141" s="5" t="s">
        <v>626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626</v>
      </c>
      <c r="BI141" s="5" t="s">
        <v>626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3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626</v>
      </c>
      <c r="F142" s="5" t="s">
        <v>626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626</v>
      </c>
      <c r="AD142" s="5" t="s">
        <v>626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626</v>
      </c>
      <c r="BI142" s="5" t="s">
        <v>626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3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626</v>
      </c>
      <c r="F143" s="5" t="s">
        <v>626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626</v>
      </c>
      <c r="AD143" s="5" t="s">
        <v>626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626</v>
      </c>
      <c r="BI143" s="5" t="s">
        <v>626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3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626</v>
      </c>
      <c r="F144" s="5" t="s">
        <v>626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626</v>
      </c>
      <c r="AD144" s="5" t="s">
        <v>626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626</v>
      </c>
      <c r="BI144" s="5" t="s">
        <v>626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3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626</v>
      </c>
      <c r="F145" s="5" t="s">
        <v>626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626</v>
      </c>
      <c r="AD145" s="5" t="s">
        <v>626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626</v>
      </c>
      <c r="BI145" s="5" t="s">
        <v>626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3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626</v>
      </c>
      <c r="F146" s="5" t="s">
        <v>626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626</v>
      </c>
      <c r="AD146" s="5" t="s">
        <v>626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626</v>
      </c>
      <c r="BI146" s="5" t="s">
        <v>626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3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626</v>
      </c>
      <c r="F147" s="5" t="s">
        <v>626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626</v>
      </c>
      <c r="AD147" s="5" t="s">
        <v>626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626</v>
      </c>
      <c r="BI147" s="5" t="s">
        <v>626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3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626</v>
      </c>
      <c r="F148" s="5" t="s">
        <v>626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626</v>
      </c>
      <c r="AD148" s="5" t="s">
        <v>626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626</v>
      </c>
      <c r="BI148" s="5" t="s">
        <v>626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3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626</v>
      </c>
      <c r="F149" s="5" t="s">
        <v>626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626</v>
      </c>
      <c r="AD149" s="5" t="s">
        <v>626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626</v>
      </c>
      <c r="BI149" s="5" t="s">
        <v>626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3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626</v>
      </c>
      <c r="F150" s="5" t="s">
        <v>626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626</v>
      </c>
      <c r="AD150" s="5" t="s">
        <v>626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626</v>
      </c>
      <c r="BI150" s="5" t="s">
        <v>626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3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626</v>
      </c>
      <c r="F151" s="5" t="s">
        <v>626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626</v>
      </c>
      <c r="AD151" s="5" t="s">
        <v>626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626</v>
      </c>
      <c r="BI151" s="5" t="s">
        <v>626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3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626</v>
      </c>
      <c r="F152" s="5" t="s">
        <v>626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626</v>
      </c>
      <c r="AD152" s="5" t="s">
        <v>626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626</v>
      </c>
      <c r="BI152" s="5" t="s">
        <v>626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3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626</v>
      </c>
      <c r="F153" s="5" t="s">
        <v>626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626</v>
      </c>
      <c r="AD153" s="5" t="s">
        <v>626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626</v>
      </c>
      <c r="BI153" s="5" t="s">
        <v>626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3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626</v>
      </c>
      <c r="F154" s="5" t="s">
        <v>626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626</v>
      </c>
      <c r="AD154" s="5" t="s">
        <v>626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626</v>
      </c>
      <c r="BI154" s="5" t="s">
        <v>626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3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626</v>
      </c>
      <c r="F155" s="5" t="s">
        <v>626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626</v>
      </c>
      <c r="AD155" s="5" t="s">
        <v>626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626</v>
      </c>
      <c r="BI155" s="5" t="s">
        <v>626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3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626</v>
      </c>
      <c r="F156" s="5" t="s">
        <v>626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626</v>
      </c>
      <c r="AD156" s="5" t="s">
        <v>626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626</v>
      </c>
      <c r="BI156" s="5" t="s">
        <v>626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3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626</v>
      </c>
      <c r="F157" s="5" t="s">
        <v>626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626</v>
      </c>
      <c r="AD157" s="5" t="s">
        <v>626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626</v>
      </c>
      <c r="BI157" s="5" t="s">
        <v>626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3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626</v>
      </c>
      <c r="F158" s="5" t="s">
        <v>626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626</v>
      </c>
      <c r="AD158" s="5" t="s">
        <v>626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626</v>
      </c>
      <c r="BI158" s="5" t="s">
        <v>626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3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626</v>
      </c>
      <c r="F159" s="5" t="s">
        <v>626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626</v>
      </c>
      <c r="AD159" s="5" t="s">
        <v>626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626</v>
      </c>
      <c r="BI159" s="5" t="s">
        <v>626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3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626</v>
      </c>
      <c r="F160" s="5" t="s">
        <v>626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626</v>
      </c>
      <c r="AD160" s="5" t="s">
        <v>626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626</v>
      </c>
      <c r="BI160" s="5" t="s">
        <v>626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3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626</v>
      </c>
      <c r="F161" s="5" t="s">
        <v>626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626</v>
      </c>
      <c r="AD161" s="5" t="s">
        <v>626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626</v>
      </c>
      <c r="BI161" s="5" t="s">
        <v>626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3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626</v>
      </c>
      <c r="F162" s="5" t="s">
        <v>626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626</v>
      </c>
      <c r="AD162" s="5" t="s">
        <v>626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626</v>
      </c>
      <c r="BI162" s="5" t="s">
        <v>626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3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626</v>
      </c>
      <c r="F163" s="5" t="s">
        <v>626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626</v>
      </c>
      <c r="AD163" s="5" t="s">
        <v>626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626</v>
      </c>
      <c r="BI163" s="5" t="s">
        <v>626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3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626</v>
      </c>
      <c r="F164" s="5" t="s">
        <v>626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626</v>
      </c>
      <c r="AD164" s="5" t="s">
        <v>626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626</v>
      </c>
      <c r="BI164" s="5" t="s">
        <v>626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3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626</v>
      </c>
      <c r="F165" s="5" t="s">
        <v>626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626</v>
      </c>
      <c r="AD165" s="5" t="s">
        <v>626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626</v>
      </c>
      <c r="BI165" s="5" t="s">
        <v>626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3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626</v>
      </c>
      <c r="F166" s="5" t="s">
        <v>626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626</v>
      </c>
      <c r="AD166" s="5" t="s">
        <v>626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626</v>
      </c>
      <c r="BI166" s="5" t="s">
        <v>626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3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626</v>
      </c>
      <c r="F167" s="5" t="s">
        <v>626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626</v>
      </c>
      <c r="AD167" s="5" t="s">
        <v>626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626</v>
      </c>
      <c r="BI167" s="5" t="s">
        <v>626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3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626</v>
      </c>
      <c r="F168" s="5" t="s">
        <v>626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626</v>
      </c>
      <c r="AD168" s="5" t="s">
        <v>626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626</v>
      </c>
      <c r="BI168" s="5" t="s">
        <v>626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3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626</v>
      </c>
      <c r="F169" s="5" t="s">
        <v>626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626</v>
      </c>
      <c r="AD169" s="5" t="s">
        <v>626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626</v>
      </c>
      <c r="BI169" s="5" t="s">
        <v>626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3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626</v>
      </c>
      <c r="F170" s="5" t="s">
        <v>626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626</v>
      </c>
      <c r="AD170" s="5" t="s">
        <v>626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626</v>
      </c>
      <c r="BI170" s="5" t="s">
        <v>626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3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626</v>
      </c>
      <c r="F171" s="5" t="s">
        <v>626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626</v>
      </c>
      <c r="AD171" s="5" t="s">
        <v>626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626</v>
      </c>
      <c r="BI171" s="5" t="s">
        <v>626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3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626</v>
      </c>
      <c r="F172" s="5" t="s">
        <v>626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626</v>
      </c>
      <c r="AD172" s="5" t="s">
        <v>626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626</v>
      </c>
      <c r="BI172" s="5" t="s">
        <v>626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3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626</v>
      </c>
      <c r="F173" s="5" t="s">
        <v>626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626</v>
      </c>
      <c r="AD173" s="5" t="s">
        <v>626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626</v>
      </c>
      <c r="BI173" s="5" t="s">
        <v>626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3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626</v>
      </c>
      <c r="F174" s="5" t="s">
        <v>626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626</v>
      </c>
      <c r="AD174" s="5" t="s">
        <v>626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626</v>
      </c>
      <c r="BI174" s="5" t="s">
        <v>626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3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626</v>
      </c>
      <c r="F175" s="5" t="s">
        <v>626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626</v>
      </c>
      <c r="AD175" s="5" t="s">
        <v>626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626</v>
      </c>
      <c r="BI175" s="5" t="s">
        <v>626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3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626</v>
      </c>
      <c r="F176" s="5" t="s">
        <v>626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626</v>
      </c>
      <c r="AD176" s="5" t="s">
        <v>626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626</v>
      </c>
      <c r="BI176" s="5" t="s">
        <v>626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3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626</v>
      </c>
      <c r="F177" s="5" t="s">
        <v>626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626</v>
      </c>
      <c r="AD177" s="5" t="s">
        <v>626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626</v>
      </c>
      <c r="BI177" s="5" t="s">
        <v>626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3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626</v>
      </c>
      <c r="F178" s="5" t="s">
        <v>626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626</v>
      </c>
      <c r="AD178" s="5" t="s">
        <v>626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626</v>
      </c>
      <c r="BI178" s="5" t="s">
        <v>626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3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626</v>
      </c>
      <c r="F179" s="5" t="s">
        <v>626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626</v>
      </c>
      <c r="AD179" s="5" t="s">
        <v>626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626</v>
      </c>
      <c r="BI179" s="5" t="s">
        <v>626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3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626</v>
      </c>
      <c r="F180" s="5" t="s">
        <v>626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626</v>
      </c>
      <c r="AD180" s="5" t="s">
        <v>626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626</v>
      </c>
      <c r="BI180" s="5" t="s">
        <v>626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3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626</v>
      </c>
      <c r="F181" s="5" t="s">
        <v>626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626</v>
      </c>
      <c r="AD181" s="5" t="s">
        <v>626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626</v>
      </c>
      <c r="BI181" s="5" t="s">
        <v>626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3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626</v>
      </c>
      <c r="F182" s="5" t="s">
        <v>626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626</v>
      </c>
      <c r="AD182" s="5" t="s">
        <v>626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626</v>
      </c>
      <c r="BI182" s="5" t="s">
        <v>626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3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626</v>
      </c>
      <c r="F183" s="5" t="s">
        <v>626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626</v>
      </c>
      <c r="AD183" s="5" t="s">
        <v>626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626</v>
      </c>
      <c r="BI183" s="5" t="s">
        <v>626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3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626</v>
      </c>
      <c r="F184" s="5" t="s">
        <v>626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626</v>
      </c>
      <c r="AD184" s="5" t="s">
        <v>626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626</v>
      </c>
      <c r="BI184" s="5" t="s">
        <v>626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3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626</v>
      </c>
      <c r="F185" s="5" t="s">
        <v>626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626</v>
      </c>
      <c r="AD185" s="5" t="s">
        <v>626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626</v>
      </c>
      <c r="BI185" s="5" t="s">
        <v>626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3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626</v>
      </c>
      <c r="F186" s="5" t="s">
        <v>626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626</v>
      </c>
      <c r="AD186" s="5" t="s">
        <v>626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626</v>
      </c>
      <c r="BI186" s="5" t="s">
        <v>626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3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626</v>
      </c>
      <c r="F187" s="5" t="s">
        <v>626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626</v>
      </c>
      <c r="AD187" s="5" t="s">
        <v>626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626</v>
      </c>
      <c r="BI187" s="5" t="s">
        <v>626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3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626</v>
      </c>
      <c r="F188" s="5" t="s">
        <v>626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626</v>
      </c>
      <c r="AD188" s="5" t="s">
        <v>626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626</v>
      </c>
      <c r="BI188" s="5" t="s">
        <v>626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3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626</v>
      </c>
      <c r="F189" s="5" t="s">
        <v>626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626</v>
      </c>
      <c r="AD189" s="5" t="s">
        <v>626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626</v>
      </c>
      <c r="BI189" s="5" t="s">
        <v>626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3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626</v>
      </c>
      <c r="F190" s="5" t="s">
        <v>626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626</v>
      </c>
      <c r="AD190" s="5" t="s">
        <v>626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626</v>
      </c>
      <c r="BI190" s="5" t="s">
        <v>626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3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626</v>
      </c>
      <c r="F191" s="5" t="s">
        <v>626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626</v>
      </c>
      <c r="AD191" s="5" t="s">
        <v>626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626</v>
      </c>
      <c r="BI191" s="5" t="s">
        <v>626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3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626</v>
      </c>
      <c r="F192" s="5" t="s">
        <v>626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626</v>
      </c>
      <c r="AD192" s="5" t="s">
        <v>626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626</v>
      </c>
      <c r="BI192" s="5" t="s">
        <v>626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3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626</v>
      </c>
      <c r="F193" s="5" t="s">
        <v>626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626</v>
      </c>
      <c r="AD193" s="5" t="s">
        <v>626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626</v>
      </c>
      <c r="BI193" s="5" t="s">
        <v>626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3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626</v>
      </c>
      <c r="F194" s="5" t="s">
        <v>626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626</v>
      </c>
      <c r="AD194" s="5" t="s">
        <v>626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626</v>
      </c>
      <c r="BI194" s="5" t="s">
        <v>626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3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626</v>
      </c>
      <c r="F195" s="5" t="s">
        <v>626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626</v>
      </c>
      <c r="AD195" s="5" t="s">
        <v>626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626</v>
      </c>
      <c r="BI195" s="5" t="s">
        <v>626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3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626</v>
      </c>
      <c r="F196" s="5" t="s">
        <v>626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626</v>
      </c>
      <c r="AD196" s="5" t="s">
        <v>626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626</v>
      </c>
      <c r="BI196" s="5" t="s">
        <v>626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3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626</v>
      </c>
      <c r="F197" s="5" t="s">
        <v>626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626</v>
      </c>
      <c r="AD197" s="5" t="s">
        <v>626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626</v>
      </c>
      <c r="BI197" s="5" t="s">
        <v>626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3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626</v>
      </c>
      <c r="F198" s="5" t="s">
        <v>626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626</v>
      </c>
      <c r="AD198" s="5" t="s">
        <v>626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626</v>
      </c>
      <c r="BI198" s="5" t="s">
        <v>626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3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626</v>
      </c>
      <c r="F199" s="5" t="s">
        <v>626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626</v>
      </c>
      <c r="AD199" s="5" t="s">
        <v>626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626</v>
      </c>
      <c r="BI199" s="5" t="s">
        <v>626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3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626</v>
      </c>
      <c r="F200" s="5" t="s">
        <v>626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626</v>
      </c>
      <c r="AD200" s="5" t="s">
        <v>626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626</v>
      </c>
      <c r="BI200" s="5" t="s">
        <v>626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3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626</v>
      </c>
      <c r="F201" s="5" t="s">
        <v>626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626</v>
      </c>
      <c r="AD201" s="5" t="s">
        <v>626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626</v>
      </c>
      <c r="BI201" s="5" t="s">
        <v>626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3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626</v>
      </c>
      <c r="F202" s="5" t="s">
        <v>626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626</v>
      </c>
      <c r="AD202" s="5" t="s">
        <v>626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626</v>
      </c>
      <c r="BI202" s="5" t="s">
        <v>626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3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626</v>
      </c>
      <c r="F203" s="5" t="s">
        <v>626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626</v>
      </c>
      <c r="AD203" s="5" t="s">
        <v>626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626</v>
      </c>
      <c r="BI203" s="5" t="s">
        <v>626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3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626</v>
      </c>
      <c r="F204" s="5" t="s">
        <v>626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626</v>
      </c>
      <c r="AD204" s="5" t="s">
        <v>626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626</v>
      </c>
      <c r="BI204" s="5" t="s">
        <v>626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3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626</v>
      </c>
      <c r="F205" s="5" t="s">
        <v>626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626</v>
      </c>
      <c r="AD205" s="5" t="s">
        <v>626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626</v>
      </c>
      <c r="BI205" s="5" t="s">
        <v>626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3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626</v>
      </c>
      <c r="F206" s="5" t="s">
        <v>626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626</v>
      </c>
      <c r="AD206" s="5" t="s">
        <v>626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626</v>
      </c>
      <c r="BI206" s="5" t="s">
        <v>626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3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626</v>
      </c>
      <c r="F207" s="5" t="s">
        <v>626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626</v>
      </c>
      <c r="AD207" s="5" t="s">
        <v>626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626</v>
      </c>
      <c r="BI207" s="5" t="s">
        <v>626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3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626</v>
      </c>
      <c r="F208" s="5" t="s">
        <v>626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626</v>
      </c>
      <c r="AD208" s="5" t="s">
        <v>626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626</v>
      </c>
      <c r="BI208" s="5" t="s">
        <v>626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3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626</v>
      </c>
      <c r="F209" s="5" t="s">
        <v>626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626</v>
      </c>
      <c r="AD209" s="5" t="s">
        <v>626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626</v>
      </c>
      <c r="BI209" s="5" t="s">
        <v>626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3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626</v>
      </c>
      <c r="F210" s="5" t="s">
        <v>626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626</v>
      </c>
      <c r="AD210" s="5" t="s">
        <v>626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626</v>
      </c>
      <c r="BI210" s="5" t="s">
        <v>626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3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626</v>
      </c>
      <c r="F211" s="5" t="s">
        <v>626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626</v>
      </c>
      <c r="AD211" s="5" t="s">
        <v>626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626</v>
      </c>
      <c r="BI211" s="5" t="s">
        <v>626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3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626</v>
      </c>
      <c r="F212" s="5" t="s">
        <v>626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626</v>
      </c>
      <c r="AD212" s="5" t="s">
        <v>626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626</v>
      </c>
      <c r="BI212" s="5" t="s">
        <v>626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3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626</v>
      </c>
      <c r="F213" s="5" t="s">
        <v>626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626</v>
      </c>
      <c r="AD213" s="5" t="s">
        <v>626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626</v>
      </c>
      <c r="BI213" s="5" t="s">
        <v>626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3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626</v>
      </c>
      <c r="F214" s="5" t="s">
        <v>626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626</v>
      </c>
      <c r="AD214" s="5" t="s">
        <v>626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626</v>
      </c>
      <c r="BI214" s="5" t="s">
        <v>626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3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626</v>
      </c>
      <c r="F215" s="5" t="s">
        <v>626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626</v>
      </c>
      <c r="AD215" s="5" t="s">
        <v>626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626</v>
      </c>
      <c r="BI215" s="5" t="s">
        <v>626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3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626</v>
      </c>
      <c r="F216" s="5" t="s">
        <v>626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626</v>
      </c>
      <c r="AD216" s="5" t="s">
        <v>626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626</v>
      </c>
      <c r="BI216" s="5" t="s">
        <v>626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3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626</v>
      </c>
      <c r="F217" s="5" t="s">
        <v>626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626</v>
      </c>
      <c r="AD217" s="5" t="s">
        <v>626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626</v>
      </c>
      <c r="BI217" s="5" t="s">
        <v>626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3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626</v>
      </c>
      <c r="F218" s="5" t="s">
        <v>626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626</v>
      </c>
      <c r="AD218" s="5" t="s">
        <v>626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626</v>
      </c>
      <c r="BI218" s="5" t="s">
        <v>626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3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626</v>
      </c>
      <c r="F219" s="5" t="s">
        <v>626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626</v>
      </c>
      <c r="AD219" s="5" t="s">
        <v>626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626</v>
      </c>
      <c r="BI219" s="5" t="s">
        <v>626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3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626</v>
      </c>
      <c r="F220" s="5" t="s">
        <v>626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626</v>
      </c>
      <c r="AD220" s="5" t="s">
        <v>626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626</v>
      </c>
      <c r="BI220" s="5" t="s">
        <v>626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3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626</v>
      </c>
      <c r="F221" s="5" t="s">
        <v>626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626</v>
      </c>
      <c r="AD221" s="5" t="s">
        <v>626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626</v>
      </c>
      <c r="BI221" s="5" t="s">
        <v>626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3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626</v>
      </c>
      <c r="F222" s="5" t="s">
        <v>626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626</v>
      </c>
      <c r="AD222" s="5" t="s">
        <v>626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626</v>
      </c>
      <c r="BI222" s="5" t="s">
        <v>626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3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626</v>
      </c>
      <c r="F223" s="5" t="s">
        <v>626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626</v>
      </c>
      <c r="AD223" s="5" t="s">
        <v>626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626</v>
      </c>
      <c r="BI223" s="5" t="s">
        <v>626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3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626</v>
      </c>
      <c r="F224" s="5" t="s">
        <v>626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626</v>
      </c>
      <c r="AD224" s="5" t="s">
        <v>626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626</v>
      </c>
      <c r="BI224" s="5" t="s">
        <v>626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3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626</v>
      </c>
      <c r="F225" s="5" t="s">
        <v>626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626</v>
      </c>
      <c r="AD225" s="5" t="s">
        <v>626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626</v>
      </c>
      <c r="BI225" s="5" t="s">
        <v>626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3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626</v>
      </c>
      <c r="F226" s="5" t="s">
        <v>626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626</v>
      </c>
      <c r="AD226" s="5" t="s">
        <v>626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626</v>
      </c>
      <c r="BI226" s="5" t="s">
        <v>626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3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626</v>
      </c>
      <c r="F227" s="5" t="s">
        <v>626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626</v>
      </c>
      <c r="AD227" s="5" t="s">
        <v>626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626</v>
      </c>
      <c r="BI227" s="5" t="s">
        <v>626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3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626</v>
      </c>
      <c r="F228" s="5" t="s">
        <v>626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626</v>
      </c>
      <c r="AD228" s="5" t="s">
        <v>626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626</v>
      </c>
      <c r="BI228" s="5" t="s">
        <v>626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3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626</v>
      </c>
      <c r="F229" s="5" t="s">
        <v>626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626</v>
      </c>
      <c r="AD229" s="5" t="s">
        <v>626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626</v>
      </c>
      <c r="BI229" s="5" t="s">
        <v>626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3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626</v>
      </c>
      <c r="F230" s="5" t="s">
        <v>626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626</v>
      </c>
      <c r="AD230" s="5" t="s">
        <v>626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626</v>
      </c>
      <c r="BI230" s="5" t="s">
        <v>626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3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626</v>
      </c>
      <c r="F231" s="5" t="s">
        <v>626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626</v>
      </c>
      <c r="AD231" s="5" t="s">
        <v>626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626</v>
      </c>
      <c r="BI231" s="5" t="s">
        <v>626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3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626</v>
      </c>
      <c r="F232" s="5" t="s">
        <v>626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626</v>
      </c>
      <c r="AD232" s="5" t="s">
        <v>626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626</v>
      </c>
      <c r="BI232" s="5" t="s">
        <v>626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3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626</v>
      </c>
      <c r="F233" s="5" t="s">
        <v>626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626</v>
      </c>
      <c r="AD233" s="5" t="s">
        <v>626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626</v>
      </c>
      <c r="BI233" s="5" t="s">
        <v>626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3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626</v>
      </c>
      <c r="F234" s="5" t="s">
        <v>626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626</v>
      </c>
      <c r="AD234" s="5" t="s">
        <v>626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626</v>
      </c>
      <c r="BI234" s="5" t="s">
        <v>626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3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626</v>
      </c>
      <c r="F235" s="5" t="s">
        <v>626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626</v>
      </c>
      <c r="AD235" s="5" t="s">
        <v>626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626</v>
      </c>
      <c r="BI235" s="5" t="s">
        <v>626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3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626</v>
      </c>
      <c r="F236" s="5" t="s">
        <v>626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626</v>
      </c>
      <c r="AD236" s="5" t="s">
        <v>626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626</v>
      </c>
      <c r="BI236" s="5" t="s">
        <v>626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3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626</v>
      </c>
      <c r="F237" s="5" t="s">
        <v>626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626</v>
      </c>
      <c r="AD237" s="5" t="s">
        <v>626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626</v>
      </c>
      <c r="BI237" s="5" t="s">
        <v>626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3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626</v>
      </c>
      <c r="F238" s="5" t="s">
        <v>626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626</v>
      </c>
      <c r="AD238" s="5" t="s">
        <v>626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626</v>
      </c>
      <c r="BI238" s="5" t="s">
        <v>626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3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626</v>
      </c>
      <c r="F239" s="5" t="s">
        <v>626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626</v>
      </c>
      <c r="AD239" s="5" t="s">
        <v>626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626</v>
      </c>
      <c r="BI239" s="5" t="s">
        <v>626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3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626</v>
      </c>
      <c r="F240" s="5" t="s">
        <v>626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626</v>
      </c>
      <c r="AD240" s="5" t="s">
        <v>626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626</v>
      </c>
      <c r="BI240" s="5" t="s">
        <v>626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3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626</v>
      </c>
      <c r="F241" s="5" t="s">
        <v>626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626</v>
      </c>
      <c r="AD241" s="5" t="s">
        <v>626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626</v>
      </c>
      <c r="BI241" s="5" t="s">
        <v>626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3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626</v>
      </c>
      <c r="F242" s="5" t="s">
        <v>626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626</v>
      </c>
      <c r="AD242" s="5" t="s">
        <v>626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626</v>
      </c>
      <c r="BI242" s="5" t="s">
        <v>626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3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626</v>
      </c>
      <c r="F243" s="5" t="s">
        <v>626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626</v>
      </c>
      <c r="AD243" s="5" t="s">
        <v>626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626</v>
      </c>
      <c r="BI243" s="5" t="s">
        <v>626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3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626</v>
      </c>
      <c r="F244" s="5" t="s">
        <v>626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626</v>
      </c>
      <c r="AD244" s="5" t="s">
        <v>626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626</v>
      </c>
      <c r="BI244" s="5" t="s">
        <v>626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3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626</v>
      </c>
      <c r="F245" s="5" t="s">
        <v>626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626</v>
      </c>
      <c r="AD245" s="5" t="s">
        <v>626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626</v>
      </c>
      <c r="BI245" s="5" t="s">
        <v>626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3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626</v>
      </c>
      <c r="F246" s="5" t="s">
        <v>626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626</v>
      </c>
      <c r="AD246" s="5" t="s">
        <v>626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626</v>
      </c>
      <c r="BI246" s="5" t="s">
        <v>626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3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626</v>
      </c>
      <c r="F247" s="5" t="s">
        <v>626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626</v>
      </c>
      <c r="AD247" s="5" t="s">
        <v>626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626</v>
      </c>
      <c r="BI247" s="5" t="s">
        <v>626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3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626</v>
      </c>
      <c r="F248" s="5" t="s">
        <v>626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626</v>
      </c>
      <c r="AD248" s="5" t="s">
        <v>626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626</v>
      </c>
      <c r="BI248" s="5" t="s">
        <v>626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3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626</v>
      </c>
      <c r="F249" s="5" t="s">
        <v>626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626</v>
      </c>
      <c r="AD249" s="5" t="s">
        <v>626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626</v>
      </c>
      <c r="BI249" s="5" t="s">
        <v>626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3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626</v>
      </c>
      <c r="F250" s="5" t="s">
        <v>626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626</v>
      </c>
      <c r="AD250" s="5" t="s">
        <v>626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626</v>
      </c>
      <c r="BI250" s="5" t="s">
        <v>626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3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626</v>
      </c>
      <c r="F251" s="5" t="s">
        <v>626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626</v>
      </c>
      <c r="AD251" s="5" t="s">
        <v>626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626</v>
      </c>
      <c r="BI251" s="5" t="s">
        <v>626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3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626</v>
      </c>
      <c r="F252" s="5" t="s">
        <v>626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626</v>
      </c>
      <c r="AD252" s="5" t="s">
        <v>626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626</v>
      </c>
      <c r="BI252" s="5" t="s">
        <v>626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3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626</v>
      </c>
      <c r="F253" s="5" t="s">
        <v>626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626</v>
      </c>
      <c r="AD253" s="5" t="s">
        <v>626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626</v>
      </c>
      <c r="BI253" s="5" t="s">
        <v>626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3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626</v>
      </c>
      <c r="F254" s="5" t="s">
        <v>626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626</v>
      </c>
      <c r="AD254" s="5" t="s">
        <v>626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626</v>
      </c>
      <c r="BI254" s="5" t="s">
        <v>626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3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626</v>
      </c>
      <c r="F255" s="5" t="s">
        <v>626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626</v>
      </c>
      <c r="AD255" s="5" t="s">
        <v>626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626</v>
      </c>
      <c r="BI255" s="5" t="s">
        <v>626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3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626</v>
      </c>
      <c r="F256" s="5" t="s">
        <v>626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626</v>
      </c>
      <c r="AD256" s="5" t="s">
        <v>626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626</v>
      </c>
      <c r="BI256" s="5" t="s">
        <v>626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3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626</v>
      </c>
      <c r="F257" s="5" t="s">
        <v>626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626</v>
      </c>
      <c r="AD257" s="5" t="s">
        <v>626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626</v>
      </c>
      <c r="BI257" s="5" t="s">
        <v>626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3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626</v>
      </c>
      <c r="F258" s="5" t="s">
        <v>626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626</v>
      </c>
      <c r="AD258" s="5" t="s">
        <v>626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626</v>
      </c>
      <c r="BI258" s="5" t="s">
        <v>626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3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626</v>
      </c>
      <c r="F259" s="5" t="s">
        <v>626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626</v>
      </c>
      <c r="AD259" s="5" t="s">
        <v>626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626</v>
      </c>
      <c r="BI259" s="5" t="s">
        <v>626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3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626</v>
      </c>
      <c r="F260" s="5" t="s">
        <v>626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626</v>
      </c>
      <c r="AD260" s="5" t="s">
        <v>626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626</v>
      </c>
      <c r="BI260" s="5" t="s">
        <v>626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3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626</v>
      </c>
      <c r="F261" s="5" t="s">
        <v>626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626</v>
      </c>
      <c r="AD261" s="5" t="s">
        <v>626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626</v>
      </c>
      <c r="BI261" s="5" t="s">
        <v>626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3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626</v>
      </c>
      <c r="F262" s="5" t="s">
        <v>626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626</v>
      </c>
      <c r="AD262" s="5" t="s">
        <v>626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626</v>
      </c>
      <c r="BI262" s="5" t="s">
        <v>626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3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626</v>
      </c>
      <c r="F263" s="5" t="s">
        <v>626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626</v>
      </c>
      <c r="AD263" s="5" t="s">
        <v>626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626</v>
      </c>
      <c r="BI263" s="5" t="s">
        <v>626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3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626</v>
      </c>
      <c r="F264" s="5" t="s">
        <v>626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626</v>
      </c>
      <c r="AD264" s="5" t="s">
        <v>626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626</v>
      </c>
      <c r="BI264" s="5" t="s">
        <v>626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3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626</v>
      </c>
      <c r="F265" s="5" t="s">
        <v>626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626</v>
      </c>
      <c r="AD265" s="5" t="s">
        <v>626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626</v>
      </c>
      <c r="BI265" s="5" t="s">
        <v>626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3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626</v>
      </c>
      <c r="F266" s="5" t="s">
        <v>626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626</v>
      </c>
      <c r="AD266" s="5" t="s">
        <v>626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626</v>
      </c>
      <c r="BI266" s="5" t="s">
        <v>626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3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626</v>
      </c>
      <c r="F267" s="5" t="s">
        <v>626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626</v>
      </c>
      <c r="AD267" s="5" t="s">
        <v>626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626</v>
      </c>
      <c r="BI267" s="5" t="s">
        <v>626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3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626</v>
      </c>
      <c r="F268" s="5" t="s">
        <v>626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626</v>
      </c>
      <c r="AD268" s="5" t="s">
        <v>626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626</v>
      </c>
      <c r="BI268" s="5" t="s">
        <v>626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3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626</v>
      </c>
      <c r="F269" s="5" t="s">
        <v>626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626</v>
      </c>
      <c r="AD269" s="5" t="s">
        <v>626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626</v>
      </c>
      <c r="BI269" s="5" t="s">
        <v>626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3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626</v>
      </c>
      <c r="F270" s="5" t="s">
        <v>626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626</v>
      </c>
      <c r="AD270" s="5" t="s">
        <v>626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626</v>
      </c>
      <c r="BI270" s="5" t="s">
        <v>626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3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626</v>
      </c>
      <c r="F271" s="5" t="s">
        <v>626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626</v>
      </c>
      <c r="AD271" s="5" t="s">
        <v>626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626</v>
      </c>
      <c r="BI271" s="5" t="s">
        <v>626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3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626</v>
      </c>
      <c r="F272" s="5" t="s">
        <v>626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626</v>
      </c>
      <c r="AD272" s="5" t="s">
        <v>626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626</v>
      </c>
      <c r="BI272" s="5" t="s">
        <v>626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3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626</v>
      </c>
      <c r="F273" s="5" t="s">
        <v>626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626</v>
      </c>
      <c r="AD273" s="5" t="s">
        <v>626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626</v>
      </c>
      <c r="BI273" s="5" t="s">
        <v>626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3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626</v>
      </c>
      <c r="F274" s="5" t="s">
        <v>626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626</v>
      </c>
      <c r="AD274" s="5" t="s">
        <v>626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626</v>
      </c>
      <c r="BI274" s="5" t="s">
        <v>626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3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626</v>
      </c>
      <c r="F275" s="5" t="s">
        <v>626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626</v>
      </c>
      <c r="AD275" s="5" t="s">
        <v>626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626</v>
      </c>
      <c r="BI275" s="5" t="s">
        <v>626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3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626</v>
      </c>
      <c r="F276" s="5" t="s">
        <v>626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626</v>
      </c>
      <c r="AD276" s="5" t="s">
        <v>626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626</v>
      </c>
      <c r="BI276" s="5" t="s">
        <v>626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3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626</v>
      </c>
      <c r="F277" s="5" t="s">
        <v>626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626</v>
      </c>
      <c r="AD277" s="5" t="s">
        <v>626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626</v>
      </c>
      <c r="BI277" s="5" t="s">
        <v>626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3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626</v>
      </c>
      <c r="F278" s="5" t="s">
        <v>626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626</v>
      </c>
      <c r="AD278" s="5" t="s">
        <v>626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626</v>
      </c>
      <c r="BI278" s="5" t="s">
        <v>626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3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626</v>
      </c>
      <c r="F279" s="5" t="s">
        <v>626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626</v>
      </c>
      <c r="AD279" s="5" t="s">
        <v>626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626</v>
      </c>
      <c r="BI279" s="5" t="s">
        <v>626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3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626</v>
      </c>
      <c r="F280" s="5" t="s">
        <v>626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626</v>
      </c>
      <c r="AD280" s="5" t="s">
        <v>626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626</v>
      </c>
      <c r="BI280" s="5" t="s">
        <v>626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3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626</v>
      </c>
      <c r="F281" s="5" t="s">
        <v>626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626</v>
      </c>
      <c r="AD281" s="5" t="s">
        <v>626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626</v>
      </c>
      <c r="BI281" s="5" t="s">
        <v>626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3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626</v>
      </c>
      <c r="F282" s="5" t="s">
        <v>626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626</v>
      </c>
      <c r="AD282" s="5" t="s">
        <v>626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626</v>
      </c>
      <c r="BI282" s="5" t="s">
        <v>626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3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626</v>
      </c>
      <c r="F283" s="5" t="s">
        <v>626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626</v>
      </c>
      <c r="AD283" s="5" t="s">
        <v>626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626</v>
      </c>
      <c r="BI283" s="5" t="s">
        <v>626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3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626</v>
      </c>
      <c r="F284" s="5" t="s">
        <v>626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626</v>
      </c>
      <c r="AD284" s="5" t="s">
        <v>626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626</v>
      </c>
      <c r="BI284" s="5" t="s">
        <v>626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3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626</v>
      </c>
      <c r="F285" s="5" t="s">
        <v>626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626</v>
      </c>
      <c r="AD285" s="5" t="s">
        <v>626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626</v>
      </c>
      <c r="BI285" s="5" t="s">
        <v>626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3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626</v>
      </c>
      <c r="F286" s="5" t="s">
        <v>626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626</v>
      </c>
      <c r="AD286" s="5" t="s">
        <v>626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626</v>
      </c>
      <c r="BI286" s="5" t="s">
        <v>626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3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626</v>
      </c>
      <c r="F287" s="5" t="s">
        <v>626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626</v>
      </c>
      <c r="AD287" s="5" t="s">
        <v>626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626</v>
      </c>
      <c r="BI287" s="5" t="s">
        <v>626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3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626</v>
      </c>
      <c r="F288" s="5" t="s">
        <v>626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626</v>
      </c>
      <c r="AD288" s="5" t="s">
        <v>626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626</v>
      </c>
      <c r="BI288" s="5" t="s">
        <v>626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3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626</v>
      </c>
      <c r="F289" s="5" t="s">
        <v>626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626</v>
      </c>
      <c r="AD289" s="5" t="s">
        <v>626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626</v>
      </c>
      <c r="BI289" s="5" t="s">
        <v>626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3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626</v>
      </c>
      <c r="F290" s="5" t="s">
        <v>626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626</v>
      </c>
      <c r="AD290" s="5" t="s">
        <v>626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626</v>
      </c>
      <c r="BI290" s="5" t="s">
        <v>626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3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626</v>
      </c>
      <c r="F291" s="5" t="s">
        <v>626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626</v>
      </c>
      <c r="AD291" s="5" t="s">
        <v>626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626</v>
      </c>
      <c r="BI291" s="5" t="s">
        <v>626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3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626</v>
      </c>
      <c r="F292" s="5" t="s">
        <v>626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626</v>
      </c>
      <c r="AD292" s="5" t="s">
        <v>626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626</v>
      </c>
      <c r="BI292" s="5" t="s">
        <v>626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3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626</v>
      </c>
      <c r="F293" s="5" t="s">
        <v>626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626</v>
      </c>
      <c r="AD293" s="5" t="s">
        <v>626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626</v>
      </c>
      <c r="BI293" s="5" t="s">
        <v>626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3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626</v>
      </c>
      <c r="F294" s="5" t="s">
        <v>626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626</v>
      </c>
      <c r="AD294" s="5" t="s">
        <v>626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626</v>
      </c>
      <c r="BI294" s="5" t="s">
        <v>626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3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626</v>
      </c>
      <c r="F295" s="5" t="s">
        <v>626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626</v>
      </c>
      <c r="AD295" s="5" t="s">
        <v>626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626</v>
      </c>
      <c r="BI295" s="5" t="s">
        <v>626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3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626</v>
      </c>
      <c r="F296" s="5" t="s">
        <v>626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626</v>
      </c>
      <c r="AD296" s="5" t="s">
        <v>626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626</v>
      </c>
      <c r="BI296" s="5" t="s">
        <v>626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3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626</v>
      </c>
      <c r="F297" s="5" t="s">
        <v>626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626</v>
      </c>
      <c r="AD297" s="5" t="s">
        <v>626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626</v>
      </c>
      <c r="BI297" s="5" t="s">
        <v>626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3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626</v>
      </c>
      <c r="F298" s="5" t="s">
        <v>626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626</v>
      </c>
      <c r="AD298" s="5" t="s">
        <v>626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626</v>
      </c>
      <c r="BI298" s="5" t="s">
        <v>626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3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626</v>
      </c>
      <c r="F299" s="5" t="s">
        <v>626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626</v>
      </c>
      <c r="AD299" s="5" t="s">
        <v>626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626</v>
      </c>
      <c r="BI299" s="5" t="s">
        <v>626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3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626</v>
      </c>
      <c r="F300" s="5" t="s">
        <v>626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626</v>
      </c>
      <c r="AD300" s="5" t="s">
        <v>626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626</v>
      </c>
      <c r="BI300" s="5" t="s">
        <v>626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3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626</v>
      </c>
      <c r="F301" s="5" t="s">
        <v>626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626</v>
      </c>
      <c r="AD301" s="5" t="s">
        <v>626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626</v>
      </c>
      <c r="BI301" s="5" t="s">
        <v>626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3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626</v>
      </c>
      <c r="F302" s="5" t="s">
        <v>626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626</v>
      </c>
      <c r="AD302" s="5" t="s">
        <v>626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626</v>
      </c>
      <c r="BI302" s="5" t="s">
        <v>626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3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626</v>
      </c>
      <c r="F303" s="5" t="s">
        <v>626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626</v>
      </c>
      <c r="AD303" s="5" t="s">
        <v>626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626</v>
      </c>
      <c r="BI303" s="5" t="s">
        <v>626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3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626</v>
      </c>
      <c r="F304" s="5" t="s">
        <v>626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626</v>
      </c>
      <c r="AD304" s="5" t="s">
        <v>626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626</v>
      </c>
      <c r="BI304" s="5" t="s">
        <v>626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3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626</v>
      </c>
      <c r="F305" s="5" t="s">
        <v>626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626</v>
      </c>
      <c r="AD305" s="5" t="s">
        <v>626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626</v>
      </c>
      <c r="BI305" s="5" t="s">
        <v>626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3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626</v>
      </c>
      <c r="F306" s="5" t="s">
        <v>626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626</v>
      </c>
      <c r="AD306" s="5" t="s">
        <v>626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626</v>
      </c>
      <c r="BI306" s="5" t="s">
        <v>626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3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626</v>
      </c>
      <c r="F307" s="5" t="s">
        <v>626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626</v>
      </c>
      <c r="AD307" s="5" t="s">
        <v>626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626</v>
      </c>
      <c r="BI307" s="5" t="s">
        <v>626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3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626</v>
      </c>
      <c r="F308" s="5" t="s">
        <v>626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626</v>
      </c>
      <c r="AD308" s="5" t="s">
        <v>626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626</v>
      </c>
      <c r="BI308" s="5" t="s">
        <v>626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3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626</v>
      </c>
      <c r="F309" s="5" t="s">
        <v>626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626</v>
      </c>
      <c r="AD309" s="5" t="s">
        <v>626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626</v>
      </c>
      <c r="BI309" s="5" t="s">
        <v>626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3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626</v>
      </c>
      <c r="F310" s="5" t="s">
        <v>626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626</v>
      </c>
      <c r="AD310" s="5" t="s">
        <v>626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626</v>
      </c>
      <c r="BI310" s="5" t="s">
        <v>626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3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626</v>
      </c>
      <c r="F311" s="5" t="s">
        <v>626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626</v>
      </c>
      <c r="AD311" s="5" t="s">
        <v>626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626</v>
      </c>
      <c r="BI311" s="5" t="s">
        <v>626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3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626</v>
      </c>
      <c r="F312" s="5" t="s">
        <v>626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626</v>
      </c>
      <c r="AD312" s="5" t="s">
        <v>626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626</v>
      </c>
      <c r="BI312" s="5" t="s">
        <v>626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3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626</v>
      </c>
      <c r="F313" s="5" t="s">
        <v>626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626</v>
      </c>
      <c r="AD313" s="5" t="s">
        <v>626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626</v>
      </c>
      <c r="BI313" s="5" t="s">
        <v>626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3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626</v>
      </c>
      <c r="F314" s="5" t="s">
        <v>626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626</v>
      </c>
      <c r="AD314" s="5" t="s">
        <v>626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626</v>
      </c>
      <c r="BI314" s="5" t="s">
        <v>626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3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626</v>
      </c>
      <c r="F315" s="5" t="s">
        <v>626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626</v>
      </c>
      <c r="AD315" s="5" t="s">
        <v>626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626</v>
      </c>
      <c r="BI315" s="5" t="s">
        <v>626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3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626</v>
      </c>
      <c r="F316" s="5" t="s">
        <v>626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626</v>
      </c>
      <c r="AD316" s="5" t="s">
        <v>626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626</v>
      </c>
      <c r="BI316" s="5" t="s">
        <v>626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3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626</v>
      </c>
      <c r="F317" s="5" t="s">
        <v>626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626</v>
      </c>
      <c r="AD317" s="5" t="s">
        <v>626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626</v>
      </c>
      <c r="BI317" s="5" t="s">
        <v>626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3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626</v>
      </c>
      <c r="F318" s="5" t="s">
        <v>626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626</v>
      </c>
      <c r="AD318" s="5" t="s">
        <v>626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626</v>
      </c>
      <c r="BI318" s="5" t="s">
        <v>626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3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626</v>
      </c>
      <c r="F319" s="5" t="s">
        <v>626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626</v>
      </c>
      <c r="AD319" s="5" t="s">
        <v>626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626</v>
      </c>
      <c r="BI319" s="5" t="s">
        <v>626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3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626</v>
      </c>
      <c r="F320" s="5" t="s">
        <v>626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626</v>
      </c>
      <c r="AD320" s="5" t="s">
        <v>626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626</v>
      </c>
      <c r="BI320" s="5" t="s">
        <v>626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3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626</v>
      </c>
      <c r="F321" s="5" t="s">
        <v>626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626</v>
      </c>
      <c r="AD321" s="5" t="s">
        <v>626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626</v>
      </c>
      <c r="BI321" s="5" t="s">
        <v>626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3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626</v>
      </c>
      <c r="F322" s="5" t="s">
        <v>626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626</v>
      </c>
      <c r="AD322" s="5" t="s">
        <v>626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626</v>
      </c>
      <c r="BI322" s="5" t="s">
        <v>626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3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626</v>
      </c>
      <c r="F323" s="5" t="s">
        <v>626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626</v>
      </c>
      <c r="AD323" s="5" t="s">
        <v>626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626</v>
      </c>
      <c r="BI323" s="5" t="s">
        <v>626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3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626</v>
      </c>
      <c r="F324" s="5" t="s">
        <v>626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626</v>
      </c>
      <c r="AD324" s="5" t="s">
        <v>626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626</v>
      </c>
      <c r="BI324" s="5" t="s">
        <v>626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3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626</v>
      </c>
      <c r="F325" s="5" t="s">
        <v>626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626</v>
      </c>
      <c r="AD325" s="5" t="s">
        <v>626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626</v>
      </c>
      <c r="BI325" s="5" t="s">
        <v>626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3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626</v>
      </c>
      <c r="F326" s="5" t="s">
        <v>626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626</v>
      </c>
      <c r="AD326" s="5" t="s">
        <v>626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626</v>
      </c>
      <c r="BI326" s="5" t="s">
        <v>626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3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626</v>
      </c>
      <c r="F327" s="5" t="s">
        <v>626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626</v>
      </c>
      <c r="AD327" s="5" t="s">
        <v>626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626</v>
      </c>
      <c r="BI327" s="5" t="s">
        <v>626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3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626</v>
      </c>
      <c r="F328" s="5" t="s">
        <v>626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626</v>
      </c>
      <c r="AD328" s="5" t="s">
        <v>626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626</v>
      </c>
      <c r="BI328" s="5" t="s">
        <v>626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3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626</v>
      </c>
      <c r="F329" s="5" t="s">
        <v>626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626</v>
      </c>
      <c r="AD329" s="5" t="s">
        <v>626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626</v>
      </c>
      <c r="BI329" s="5" t="s">
        <v>626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3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626</v>
      </c>
      <c r="F330" s="5" t="s">
        <v>626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626</v>
      </c>
      <c r="AD330" s="5" t="s">
        <v>626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626</v>
      </c>
      <c r="BI330" s="5" t="s">
        <v>626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3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626</v>
      </c>
      <c r="F331" s="5" t="s">
        <v>626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626</v>
      </c>
      <c r="AD331" s="5" t="s">
        <v>626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626</v>
      </c>
      <c r="BI331" s="5" t="s">
        <v>626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3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626</v>
      </c>
      <c r="F332" s="5" t="s">
        <v>626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626</v>
      </c>
      <c r="AD332" s="5" t="s">
        <v>626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626</v>
      </c>
      <c r="BI332" s="5" t="s">
        <v>626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3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626</v>
      </c>
      <c r="F333" s="5" t="s">
        <v>626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626</v>
      </c>
      <c r="AD333" s="5" t="s">
        <v>626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626</v>
      </c>
      <c r="BI333" s="5" t="s">
        <v>626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3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626</v>
      </c>
      <c r="F334" s="5" t="s">
        <v>626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626</v>
      </c>
      <c r="AD334" s="5" t="s">
        <v>626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626</v>
      </c>
      <c r="BI334" s="5" t="s">
        <v>626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3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626</v>
      </c>
      <c r="F335" s="5" t="s">
        <v>626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626</v>
      </c>
      <c r="AD335" s="5" t="s">
        <v>626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626</v>
      </c>
      <c r="BI335" s="5" t="s">
        <v>626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3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626</v>
      </c>
      <c r="F336" s="5" t="s">
        <v>626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626</v>
      </c>
      <c r="AD336" s="5" t="s">
        <v>626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626</v>
      </c>
      <c r="BI336" s="5" t="s">
        <v>626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3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626</v>
      </c>
      <c r="F337" s="5" t="s">
        <v>626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626</v>
      </c>
      <c r="AD337" s="5" t="s">
        <v>626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626</v>
      </c>
      <c r="BI337" s="5" t="s">
        <v>626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3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626</v>
      </c>
      <c r="F338" s="5" t="s">
        <v>626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626</v>
      </c>
      <c r="AD338" s="5" t="s">
        <v>626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626</v>
      </c>
      <c r="BI338" s="5" t="s">
        <v>626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3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626</v>
      </c>
      <c r="F339" s="5" t="s">
        <v>626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626</v>
      </c>
      <c r="AD339" s="5" t="s">
        <v>626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626</v>
      </c>
      <c r="BI339" s="5" t="s">
        <v>626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3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626</v>
      </c>
      <c r="F340" s="5" t="s">
        <v>626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626</v>
      </c>
      <c r="AD340" s="5" t="s">
        <v>626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626</v>
      </c>
      <c r="BI340" s="5" t="s">
        <v>626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3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626</v>
      </c>
      <c r="F341" s="5" t="s">
        <v>626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626</v>
      </c>
      <c r="AD341" s="5" t="s">
        <v>626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626</v>
      </c>
      <c r="BI341" s="5" t="s">
        <v>626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3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626</v>
      </c>
      <c r="F342" s="5" t="s">
        <v>626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626</v>
      </c>
      <c r="AD342" s="5" t="s">
        <v>626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626</v>
      </c>
      <c r="BI342" s="5" t="s">
        <v>626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3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626</v>
      </c>
      <c r="F343" s="5" t="s">
        <v>626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626</v>
      </c>
      <c r="AD343" s="5" t="s">
        <v>626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626</v>
      </c>
      <c r="BI343" s="5" t="s">
        <v>626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3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626</v>
      </c>
      <c r="F344" s="5" t="s">
        <v>626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626</v>
      </c>
      <c r="AD344" s="5" t="s">
        <v>626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626</v>
      </c>
      <c r="BI344" s="5" t="s">
        <v>626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3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626</v>
      </c>
      <c r="F345" s="5" t="s">
        <v>626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626</v>
      </c>
      <c r="AD345" s="5" t="s">
        <v>626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626</v>
      </c>
      <c r="BI345" s="5" t="s">
        <v>626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3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626</v>
      </c>
      <c r="F346" s="5" t="s">
        <v>626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626</v>
      </c>
      <c r="AD346" s="5" t="s">
        <v>626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626</v>
      </c>
      <c r="BI346" s="5" t="s">
        <v>626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3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626</v>
      </c>
      <c r="F347" s="5" t="s">
        <v>626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626</v>
      </c>
      <c r="AD347" s="5" t="s">
        <v>626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626</v>
      </c>
      <c r="BI347" s="5" t="s">
        <v>626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3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626</v>
      </c>
      <c r="F348" s="5" t="s">
        <v>626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626</v>
      </c>
      <c r="AD348" s="5" t="s">
        <v>626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626</v>
      </c>
      <c r="BI348" s="5" t="s">
        <v>626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3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626</v>
      </c>
      <c r="F349" s="5" t="s">
        <v>626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626</v>
      </c>
      <c r="AD349" s="5" t="s">
        <v>626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626</v>
      </c>
      <c r="BI349" s="5" t="s">
        <v>626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3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626</v>
      </c>
      <c r="F350" s="5" t="s">
        <v>626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626</v>
      </c>
      <c r="AD350" s="5" t="s">
        <v>626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626</v>
      </c>
      <c r="BI350" s="5" t="s">
        <v>626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3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626</v>
      </c>
      <c r="F351" s="5" t="s">
        <v>626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626</v>
      </c>
      <c r="AD351" s="5" t="s">
        <v>626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626</v>
      </c>
      <c r="BI351" s="5" t="s">
        <v>626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3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626</v>
      </c>
      <c r="F352" s="5" t="s">
        <v>626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626</v>
      </c>
      <c r="AD352" s="5" t="s">
        <v>626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626</v>
      </c>
      <c r="BI352" s="5" t="s">
        <v>626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3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626</v>
      </c>
      <c r="F353" s="5" t="s">
        <v>626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626</v>
      </c>
      <c r="AD353" s="5" t="s">
        <v>626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626</v>
      </c>
      <c r="BI353" s="5" t="s">
        <v>626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3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626</v>
      </c>
      <c r="F354" s="5" t="s">
        <v>626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626</v>
      </c>
      <c r="AD354" s="5" t="s">
        <v>626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626</v>
      </c>
      <c r="BI354" s="5" t="s">
        <v>626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3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626</v>
      </c>
      <c r="F355" s="5" t="s">
        <v>626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626</v>
      </c>
      <c r="AD355" s="5" t="s">
        <v>626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626</v>
      </c>
      <c r="BI355" s="5" t="s">
        <v>626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3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626</v>
      </c>
      <c r="F356" s="5" t="s">
        <v>626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626</v>
      </c>
      <c r="AD356" s="5" t="s">
        <v>626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626</v>
      </c>
      <c r="BI356" s="5" t="s">
        <v>626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3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626</v>
      </c>
      <c r="F357" s="5" t="s">
        <v>626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626</v>
      </c>
      <c r="AD357" s="5" t="s">
        <v>626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626</v>
      </c>
      <c r="BI357" s="5" t="s">
        <v>626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3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626</v>
      </c>
      <c r="F358" s="5" t="s">
        <v>626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626</v>
      </c>
      <c r="AD358" s="5" t="s">
        <v>626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626</v>
      </c>
      <c r="BI358" s="5" t="s">
        <v>626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3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626</v>
      </c>
      <c r="F359" s="5" t="s">
        <v>626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626</v>
      </c>
      <c r="AD359" s="5" t="s">
        <v>626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626</v>
      </c>
      <c r="BI359" s="5" t="s">
        <v>626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3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626</v>
      </c>
      <c r="F360" s="5" t="s">
        <v>626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626</v>
      </c>
      <c r="AD360" s="5" t="s">
        <v>626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626</v>
      </c>
      <c r="BI360" s="5" t="s">
        <v>626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3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626</v>
      </c>
      <c r="F361" s="5" t="s">
        <v>626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626</v>
      </c>
      <c r="AD361" s="5" t="s">
        <v>626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626</v>
      </c>
      <c r="BI361" s="5" t="s">
        <v>626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3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626</v>
      </c>
      <c r="F362" s="5" t="s">
        <v>626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626</v>
      </c>
      <c r="AD362" s="5" t="s">
        <v>626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626</v>
      </c>
      <c r="BI362" s="5" t="s">
        <v>626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3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626</v>
      </c>
      <c r="F363" s="5" t="s">
        <v>626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626</v>
      </c>
      <c r="AD363" s="5" t="s">
        <v>626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626</v>
      </c>
      <c r="BI363" s="5" t="s">
        <v>626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3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626</v>
      </c>
      <c r="F364" s="5" t="s">
        <v>626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626</v>
      </c>
      <c r="AD364" s="5" t="s">
        <v>626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626</v>
      </c>
      <c r="BI364" s="5" t="s">
        <v>626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3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626</v>
      </c>
      <c r="F365" s="5" t="s">
        <v>626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626</v>
      </c>
      <c r="AD365" s="5" t="s">
        <v>626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626</v>
      </c>
      <c r="BI365" s="5" t="s">
        <v>626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3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626</v>
      </c>
      <c r="F366" s="5" t="s">
        <v>626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626</v>
      </c>
      <c r="AD366" s="5" t="s">
        <v>626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626</v>
      </c>
      <c r="BI366" s="5" t="s">
        <v>626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3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626</v>
      </c>
      <c r="F367" s="5" t="s">
        <v>626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626</v>
      </c>
      <c r="AD367" s="5" t="s">
        <v>626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626</v>
      </c>
      <c r="BI367" s="5" t="s">
        <v>626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3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626</v>
      </c>
      <c r="F368" s="5" t="s">
        <v>626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626</v>
      </c>
      <c r="AD368" s="5" t="s">
        <v>626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626</v>
      </c>
      <c r="BI368" s="5" t="s">
        <v>626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3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626</v>
      </c>
      <c r="F369" s="5" t="s">
        <v>626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626</v>
      </c>
      <c r="AD369" s="5" t="s">
        <v>626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626</v>
      </c>
      <c r="BI369" s="5" t="s">
        <v>626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3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626</v>
      </c>
      <c r="F370" s="5" t="s">
        <v>626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626</v>
      </c>
      <c r="AD370" s="5" t="s">
        <v>626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626</v>
      </c>
      <c r="BI370" s="5" t="s">
        <v>626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3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626</v>
      </c>
      <c r="F371" s="5" t="s">
        <v>626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626</v>
      </c>
      <c r="AD371" s="5" t="s">
        <v>626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626</v>
      </c>
      <c r="BI371" s="5" t="s">
        <v>626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3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626</v>
      </c>
      <c r="F372" s="5" t="s">
        <v>626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626</v>
      </c>
      <c r="AD372" s="5" t="s">
        <v>626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626</v>
      </c>
      <c r="BI372" s="5" t="s">
        <v>626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3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626</v>
      </c>
      <c r="F373" s="5" t="s">
        <v>626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626</v>
      </c>
      <c r="AD373" s="5" t="s">
        <v>626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626</v>
      </c>
      <c r="BI373" s="5" t="s">
        <v>626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3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626</v>
      </c>
      <c r="F374" s="5" t="s">
        <v>626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626</v>
      </c>
      <c r="AD374" s="5" t="s">
        <v>626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626</v>
      </c>
      <c r="BI374" s="5" t="s">
        <v>626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3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626</v>
      </c>
      <c r="F375" s="5" t="s">
        <v>626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626</v>
      </c>
      <c r="AD375" s="5" t="s">
        <v>626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626</v>
      </c>
      <c r="BI375" s="5" t="s">
        <v>626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3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626</v>
      </c>
      <c r="F376" s="5" t="s">
        <v>626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626</v>
      </c>
      <c r="AD376" s="5" t="s">
        <v>626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626</v>
      </c>
      <c r="BI376" s="5" t="s">
        <v>626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3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626</v>
      </c>
      <c r="F377" s="5" t="s">
        <v>626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626</v>
      </c>
      <c r="AD377" s="5" t="s">
        <v>626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626</v>
      </c>
      <c r="BI377" s="5" t="s">
        <v>626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3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626</v>
      </c>
      <c r="F378" s="5" t="s">
        <v>626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626</v>
      </c>
      <c r="AD378" s="5" t="s">
        <v>626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626</v>
      </c>
      <c r="BI378" s="5" t="s">
        <v>626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3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626</v>
      </c>
      <c r="F379" s="5" t="s">
        <v>626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626</v>
      </c>
      <c r="AD379" s="5" t="s">
        <v>626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626</v>
      </c>
      <c r="BI379" s="5" t="s">
        <v>626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3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626</v>
      </c>
      <c r="F380" s="5" t="s">
        <v>626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626</v>
      </c>
      <c r="AD380" s="5" t="s">
        <v>626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626</v>
      </c>
      <c r="BI380" s="5" t="s">
        <v>626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3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626</v>
      </c>
      <c r="F381" s="5" t="s">
        <v>626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626</v>
      </c>
      <c r="AD381" s="5" t="s">
        <v>626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626</v>
      </c>
      <c r="BI381" s="5" t="s">
        <v>626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3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626</v>
      </c>
      <c r="F382" s="5" t="s">
        <v>626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626</v>
      </c>
      <c r="AD382" s="5" t="s">
        <v>626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626</v>
      </c>
      <c r="BI382" s="5" t="s">
        <v>626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3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626</v>
      </c>
      <c r="F383" s="5" t="s">
        <v>626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626</v>
      </c>
      <c r="AD383" s="5" t="s">
        <v>626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626</v>
      </c>
      <c r="BI383" s="5" t="s">
        <v>626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3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627</v>
      </c>
      <c r="F384" s="3" t="s">
        <v>627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323">
        <f t="shared" ref="P384:P447" si="145">J384/$Q$1/M384</f>
        <v>0.66899539130820584</v>
      </c>
      <c r="Q384" s="337">
        <f t="shared" ref="Q384:Q447" si="146">K384/N384/$Q$1</f>
        <v>0.66899539130820584</v>
      </c>
      <c r="R384" s="337">
        <f t="shared" ref="R384:R447" si="147">L384/O384/$Q$1</f>
        <v>0.66899539130820584</v>
      </c>
      <c r="S384" s="323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338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627</v>
      </c>
      <c r="AD384" s="3" t="s">
        <v>627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323">
        <f t="shared" ref="AN384:AN447" si="153">AH384/$Q$1/AK384</f>
        <v>0.95004984012629889</v>
      </c>
      <c r="AO384" s="323">
        <f t="shared" ref="AO384:AO447" si="154">AI384/AL384/$Q$1</f>
        <v>0.95004984012629878</v>
      </c>
      <c r="AP384" s="323">
        <f t="shared" ref="AP384:AP447" si="155">AJ384/AM384/$Q$1</f>
        <v>0.95004984012629878</v>
      </c>
      <c r="AQ384" s="323">
        <f t="shared" ref="AQ384:AQ447" si="156">AH384/(24*$Q$1)</f>
        <v>0.26218736560152167</v>
      </c>
      <c r="AR384" s="323">
        <f>Modelling_new[[#This Row],[Target E_Grid MTD
MWh]]/Modelling_new[[#This Row],[MTD DC Capcity]]/(24*CG384)</f>
        <v>0.23562245978522367</v>
      </c>
      <c r="AS384" s="323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627</v>
      </c>
      <c r="BI384" s="3" t="s">
        <v>627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323">
        <f>BM384/Modelling[[#This Row],[Comisined DC ]]/BP384</f>
        <v>0.76632360487815343</v>
      </c>
      <c r="BT384" s="337">
        <f>BN384/BQ384/Modelling[[#This Row],[Comisined DC ]]</f>
        <v>0.76632360487815343</v>
      </c>
      <c r="BU384" s="337">
        <f>BO384/BR384/Modelling[[#This Row],[Comisined DC ]]</f>
        <v>0.76632360487815343</v>
      </c>
      <c r="BV384" s="323">
        <f>BM384/(24*Modelling[[#This Row],[Comisined DC ]])</f>
        <v>0.21148402817956816</v>
      </c>
      <c r="BW384" s="323">
        <f>Modelling[[#This Row],[Target E_Grid MTD
MWh]]/Modelling[[#This Row],[MTD DC Capcity]]/(24*CG384)</f>
        <v>0.21148402817956816</v>
      </c>
      <c r="BX384" s="338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3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627</v>
      </c>
      <c r="F385" s="3" t="s">
        <v>627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323">
        <f t="shared" si="145"/>
        <v>0.66899539130820584</v>
      </c>
      <c r="Q385" s="337">
        <f t="shared" si="146"/>
        <v>0.66899539130820584</v>
      </c>
      <c r="R385" s="337">
        <f t="shared" si="147"/>
        <v>0.66899539130820584</v>
      </c>
      <c r="S385" s="323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338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627</v>
      </c>
      <c r="AD385" s="3" t="s">
        <v>627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323">
        <f t="shared" si="153"/>
        <v>0.95004984012629889</v>
      </c>
      <c r="AO385" s="323">
        <f t="shared" si="154"/>
        <v>0.95004984012629878</v>
      </c>
      <c r="AP385" s="323">
        <f t="shared" si="155"/>
        <v>0.95004984012629878</v>
      </c>
      <c r="AQ385" s="323">
        <f t="shared" si="156"/>
        <v>0.26218736560152167</v>
      </c>
      <c r="AR385" s="323">
        <f>Modelling_new[[#This Row],[Target E_Grid MTD
MWh]]/Modelling_new[[#This Row],[MTD DC Capcity]]/(24*CG385)</f>
        <v>0.23562245978522367</v>
      </c>
      <c r="AS385" s="323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627</v>
      </c>
      <c r="BI385" s="3" t="s">
        <v>627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323">
        <f>BM385/Modelling[[#This Row],[Comisined DC ]]/BP385</f>
        <v>0.76632360487815343</v>
      </c>
      <c r="BT385" s="337">
        <f>BN385/BQ385/Modelling[[#This Row],[Comisined DC ]]</f>
        <v>0.76632360487815343</v>
      </c>
      <c r="BU385" s="337">
        <f>BO385/BR385/Modelling[[#This Row],[Comisined DC ]]</f>
        <v>0.76632360487815343</v>
      </c>
      <c r="BV385" s="323">
        <f>BM385/(24*Modelling[[#This Row],[Comisined DC ]])</f>
        <v>0.21148402817956816</v>
      </c>
      <c r="BW385" s="323">
        <f>Modelling[[#This Row],[Target E_Grid MTD
MWh]]/Modelling[[#This Row],[MTD DC Capcity]]/(24*CG385)</f>
        <v>0.21148402817956816</v>
      </c>
      <c r="BX385" s="338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3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627</v>
      </c>
      <c r="F386" s="3" t="s">
        <v>627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323">
        <f t="shared" si="145"/>
        <v>0.66899539130820584</v>
      </c>
      <c r="Q386" s="337">
        <f t="shared" si="146"/>
        <v>0.66899539130820596</v>
      </c>
      <c r="R386" s="337">
        <f t="shared" si="147"/>
        <v>0.66899539130820596</v>
      </c>
      <c r="S386" s="323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338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627</v>
      </c>
      <c r="AD386" s="3" t="s">
        <v>627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323">
        <f t="shared" si="153"/>
        <v>0.95004984012629889</v>
      </c>
      <c r="AO386" s="323">
        <f t="shared" si="154"/>
        <v>0.95004984012629878</v>
      </c>
      <c r="AP386" s="323">
        <f t="shared" si="155"/>
        <v>0.95004984012629878</v>
      </c>
      <c r="AQ386" s="323">
        <f t="shared" si="156"/>
        <v>0.26218736560152167</v>
      </c>
      <c r="AR386" s="323">
        <f>Modelling_new[[#This Row],[Target E_Grid MTD
MWh]]/Modelling_new[[#This Row],[MTD DC Capcity]]/(24*CG386)</f>
        <v>0.23562245978522364</v>
      </c>
      <c r="AS386" s="323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627</v>
      </c>
      <c r="BI386" s="3" t="s">
        <v>627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323">
        <f>BM386/Modelling[[#This Row],[Comisined DC ]]/BP386</f>
        <v>0.76632360487815343</v>
      </c>
      <c r="BT386" s="337">
        <f>BN386/BQ386/Modelling[[#This Row],[Comisined DC ]]</f>
        <v>0.76632360487815354</v>
      </c>
      <c r="BU386" s="337">
        <f>BO386/BR386/Modelling[[#This Row],[Comisined DC ]]</f>
        <v>0.76632360487815354</v>
      </c>
      <c r="BV386" s="323">
        <f>BM386/(24*Modelling[[#This Row],[Comisined DC ]])</f>
        <v>0.21148402817956816</v>
      </c>
      <c r="BW386" s="323">
        <f>Modelling[[#This Row],[Target E_Grid MTD
MWh]]/Modelling[[#This Row],[MTD DC Capcity]]/(24*CG386)</f>
        <v>0.21148402817956816</v>
      </c>
      <c r="BX386" s="338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3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627</v>
      </c>
      <c r="F387" s="3" t="s">
        <v>627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323">
        <f t="shared" si="145"/>
        <v>0.66899539130820584</v>
      </c>
      <c r="Q387" s="337">
        <f t="shared" si="146"/>
        <v>0.66899539130820584</v>
      </c>
      <c r="R387" s="337">
        <f t="shared" si="147"/>
        <v>0.66899539130820584</v>
      </c>
      <c r="S387" s="323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338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627</v>
      </c>
      <c r="AD387" s="3" t="s">
        <v>627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323">
        <f t="shared" si="153"/>
        <v>0.95004984012629889</v>
      </c>
      <c r="AO387" s="323">
        <f t="shared" si="154"/>
        <v>0.95004984012629878</v>
      </c>
      <c r="AP387" s="323">
        <f t="shared" si="155"/>
        <v>0.95004984012629878</v>
      </c>
      <c r="AQ387" s="323">
        <f t="shared" si="156"/>
        <v>0.26218736560152167</v>
      </c>
      <c r="AR387" s="323">
        <f>Modelling_new[[#This Row],[Target E_Grid MTD
MWh]]/Modelling_new[[#This Row],[MTD DC Capcity]]/(24*CG387)</f>
        <v>0.23562245978522367</v>
      </c>
      <c r="AS387" s="323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627</v>
      </c>
      <c r="BI387" s="3" t="s">
        <v>627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323">
        <f>BM387/Modelling[[#This Row],[Comisined DC ]]/BP387</f>
        <v>0.76632360487815343</v>
      </c>
      <c r="BT387" s="337">
        <f>BN387/BQ387/Modelling[[#This Row],[Comisined DC ]]</f>
        <v>0.76632360487815343</v>
      </c>
      <c r="BU387" s="337">
        <f>BO387/BR387/Modelling[[#This Row],[Comisined DC ]]</f>
        <v>0.76632360487815343</v>
      </c>
      <c r="BV387" s="323">
        <f>BM387/(24*Modelling[[#This Row],[Comisined DC ]])</f>
        <v>0.21148402817956816</v>
      </c>
      <c r="BW387" s="323">
        <f>Modelling[[#This Row],[Target E_Grid MTD
MWh]]/Modelling[[#This Row],[MTD DC Capcity]]/(24*CG387)</f>
        <v>0.21148402817956816</v>
      </c>
      <c r="BX387" s="338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3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627</v>
      </c>
      <c r="F388" s="3" t="s">
        <v>627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323">
        <f t="shared" si="145"/>
        <v>0.66899539130820584</v>
      </c>
      <c r="Q388" s="337">
        <f t="shared" si="146"/>
        <v>0.66899539130820584</v>
      </c>
      <c r="R388" s="337">
        <f t="shared" si="147"/>
        <v>0.66899539130820584</v>
      </c>
      <c r="S388" s="323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338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627</v>
      </c>
      <c r="AD388" s="3" t="s">
        <v>627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323">
        <f t="shared" si="153"/>
        <v>0.95004984012629889</v>
      </c>
      <c r="AO388" s="323">
        <f t="shared" si="154"/>
        <v>0.95004984012629878</v>
      </c>
      <c r="AP388" s="323">
        <f t="shared" si="155"/>
        <v>0.95004984012629878</v>
      </c>
      <c r="AQ388" s="323">
        <f t="shared" si="156"/>
        <v>0.26218736560152167</v>
      </c>
      <c r="AR388" s="323">
        <f>Modelling_new[[#This Row],[Target E_Grid MTD
MWh]]/Modelling_new[[#This Row],[MTD DC Capcity]]/(24*CG388)</f>
        <v>0.2356224597852237</v>
      </c>
      <c r="AS388" s="323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627</v>
      </c>
      <c r="BI388" s="3" t="s">
        <v>627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323">
        <f>BM388/Modelling[[#This Row],[Comisined DC ]]/BP388</f>
        <v>0.76632360487815343</v>
      </c>
      <c r="BT388" s="337">
        <f>BN388/BQ388/Modelling[[#This Row],[Comisined DC ]]</f>
        <v>0.76632360487815343</v>
      </c>
      <c r="BU388" s="337">
        <f>BO388/BR388/Modelling[[#This Row],[Comisined DC ]]</f>
        <v>0.76632360487815343</v>
      </c>
      <c r="BV388" s="323">
        <f>BM388/(24*Modelling[[#This Row],[Comisined DC ]])</f>
        <v>0.21148402817956816</v>
      </c>
      <c r="BW388" s="323">
        <f>Modelling[[#This Row],[Target E_Grid MTD
MWh]]/Modelling[[#This Row],[MTD DC Capcity]]/(24*CG388)</f>
        <v>0.21148402817956816</v>
      </c>
      <c r="BX388" s="338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3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627</v>
      </c>
      <c r="F389" s="3" t="s">
        <v>627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323">
        <f t="shared" si="145"/>
        <v>0.66899539130820584</v>
      </c>
      <c r="Q389" s="337">
        <f t="shared" si="146"/>
        <v>0.66899539130820584</v>
      </c>
      <c r="R389" s="337">
        <f t="shared" si="147"/>
        <v>0.66899539130820584</v>
      </c>
      <c r="S389" s="323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338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627</v>
      </c>
      <c r="AD389" s="3" t="s">
        <v>627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323">
        <f t="shared" si="153"/>
        <v>0.95004984012629889</v>
      </c>
      <c r="AO389" s="323">
        <f t="shared" si="154"/>
        <v>0.95004984012629878</v>
      </c>
      <c r="AP389" s="323">
        <f t="shared" si="155"/>
        <v>0.95004984012629878</v>
      </c>
      <c r="AQ389" s="323">
        <f t="shared" si="156"/>
        <v>0.26218736560152167</v>
      </c>
      <c r="AR389" s="323">
        <f>Modelling_new[[#This Row],[Target E_Grid MTD
MWh]]/Modelling_new[[#This Row],[MTD DC Capcity]]/(24*CG389)</f>
        <v>0.23562245978522375</v>
      </c>
      <c r="AS389" s="323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627</v>
      </c>
      <c r="BI389" s="3" t="s">
        <v>627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323">
        <f>BM389/Modelling[[#This Row],[Comisined DC ]]/BP389</f>
        <v>0.76632360487815343</v>
      </c>
      <c r="BT389" s="337">
        <f>BN389/BQ389/Modelling[[#This Row],[Comisined DC ]]</f>
        <v>0.76632360487815343</v>
      </c>
      <c r="BU389" s="337">
        <f>BO389/BR389/Modelling[[#This Row],[Comisined DC ]]</f>
        <v>0.76632360487815343</v>
      </c>
      <c r="BV389" s="323">
        <f>BM389/(24*Modelling[[#This Row],[Comisined DC ]])</f>
        <v>0.21148402817956816</v>
      </c>
      <c r="BW389" s="323">
        <f>Modelling[[#This Row],[Target E_Grid MTD
MWh]]/Modelling[[#This Row],[MTD DC Capcity]]/(24*CG389)</f>
        <v>0.21148402817956816</v>
      </c>
      <c r="BX389" s="338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3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627</v>
      </c>
      <c r="F390" s="3" t="s">
        <v>627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323">
        <f t="shared" si="145"/>
        <v>0.66899539130820584</v>
      </c>
      <c r="Q390" s="337">
        <f t="shared" si="146"/>
        <v>0.66899539130820584</v>
      </c>
      <c r="R390" s="337">
        <f t="shared" si="147"/>
        <v>0.66899539130820584</v>
      </c>
      <c r="S390" s="323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338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627</v>
      </c>
      <c r="AD390" s="3" t="s">
        <v>627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323">
        <f t="shared" si="153"/>
        <v>0.95004984012629889</v>
      </c>
      <c r="AO390" s="323">
        <f t="shared" si="154"/>
        <v>0.95004984012629878</v>
      </c>
      <c r="AP390" s="323">
        <f t="shared" si="155"/>
        <v>0.95004984012629878</v>
      </c>
      <c r="AQ390" s="323">
        <f t="shared" si="156"/>
        <v>0.26218736560152167</v>
      </c>
      <c r="AR390" s="323">
        <f>Modelling_new[[#This Row],[Target E_Grid MTD
MWh]]/Modelling_new[[#This Row],[MTD DC Capcity]]/(24*CG390)</f>
        <v>0.23562245978522375</v>
      </c>
      <c r="AS390" s="323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627</v>
      </c>
      <c r="BI390" s="3" t="s">
        <v>627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323">
        <f>BM390/Modelling[[#This Row],[Comisined DC ]]/BP390</f>
        <v>0.76632360487815343</v>
      </c>
      <c r="BT390" s="337">
        <f>BN390/BQ390/Modelling[[#This Row],[Comisined DC ]]</f>
        <v>0.76632360487815343</v>
      </c>
      <c r="BU390" s="337">
        <f>BO390/BR390/Modelling[[#This Row],[Comisined DC ]]</f>
        <v>0.76632360487815343</v>
      </c>
      <c r="BV390" s="323">
        <f>BM390/(24*Modelling[[#This Row],[Comisined DC ]])</f>
        <v>0.21148402817956816</v>
      </c>
      <c r="BW390" s="323">
        <f>Modelling[[#This Row],[Target E_Grid MTD
MWh]]/Modelling[[#This Row],[MTD DC Capcity]]/(24*CG390)</f>
        <v>0.21148402817956816</v>
      </c>
      <c r="BX390" s="338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3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627</v>
      </c>
      <c r="F391" s="3" t="s">
        <v>627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323">
        <f t="shared" si="145"/>
        <v>0.66899539130820584</v>
      </c>
      <c r="Q391" s="337">
        <f t="shared" si="146"/>
        <v>0.66899539130820584</v>
      </c>
      <c r="R391" s="337">
        <f t="shared" si="147"/>
        <v>0.66899539130820584</v>
      </c>
      <c r="S391" s="323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338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627</v>
      </c>
      <c r="AD391" s="3" t="s">
        <v>627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323">
        <f t="shared" si="153"/>
        <v>0.95004984012629889</v>
      </c>
      <c r="AO391" s="323">
        <f t="shared" si="154"/>
        <v>0.95004984012629867</v>
      </c>
      <c r="AP391" s="323">
        <f t="shared" si="155"/>
        <v>0.95004984012629867</v>
      </c>
      <c r="AQ391" s="323">
        <f t="shared" si="156"/>
        <v>0.26218736560152167</v>
      </c>
      <c r="AR391" s="323">
        <f>Modelling_new[[#This Row],[Target E_Grid MTD
MWh]]/Modelling_new[[#This Row],[MTD DC Capcity]]/(24*CG391)</f>
        <v>0.2356224597852237</v>
      </c>
      <c r="AS391" s="323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627</v>
      </c>
      <c r="BI391" s="3" t="s">
        <v>627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323">
        <f>BM391/Modelling[[#This Row],[Comisined DC ]]/BP391</f>
        <v>0.76632360487815343</v>
      </c>
      <c r="BT391" s="337">
        <f>BN391/BQ391/Modelling[[#This Row],[Comisined DC ]]</f>
        <v>0.76632360487815343</v>
      </c>
      <c r="BU391" s="337">
        <f>BO391/BR391/Modelling[[#This Row],[Comisined DC ]]</f>
        <v>0.76632360487815343</v>
      </c>
      <c r="BV391" s="323">
        <f>BM391/(24*Modelling[[#This Row],[Comisined DC ]])</f>
        <v>0.21148402817956816</v>
      </c>
      <c r="BW391" s="323">
        <f>Modelling[[#This Row],[Target E_Grid MTD
MWh]]/Modelling[[#This Row],[MTD DC Capcity]]/(24*CG391)</f>
        <v>0.21148402817956816</v>
      </c>
      <c r="BX391" s="338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3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627</v>
      </c>
      <c r="F392" s="3" t="s">
        <v>627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323">
        <f t="shared" si="145"/>
        <v>0.66899539130820584</v>
      </c>
      <c r="Q392" s="337">
        <f t="shared" si="146"/>
        <v>0.66899539130820584</v>
      </c>
      <c r="R392" s="337">
        <f t="shared" si="147"/>
        <v>0.66899539130820584</v>
      </c>
      <c r="S392" s="323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338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627</v>
      </c>
      <c r="AD392" s="3" t="s">
        <v>627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323">
        <f t="shared" si="153"/>
        <v>0.95004984012629889</v>
      </c>
      <c r="AO392" s="323">
        <f t="shared" si="154"/>
        <v>0.95004984012629867</v>
      </c>
      <c r="AP392" s="323">
        <f t="shared" si="155"/>
        <v>0.95004984012629867</v>
      </c>
      <c r="AQ392" s="323">
        <f t="shared" si="156"/>
        <v>0.26218736560152167</v>
      </c>
      <c r="AR392" s="323">
        <f>Modelling_new[[#This Row],[Target E_Grid MTD
MWh]]/Modelling_new[[#This Row],[MTD DC Capcity]]/(24*CG392)</f>
        <v>0.2356224597852237</v>
      </c>
      <c r="AS392" s="323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627</v>
      </c>
      <c r="BI392" s="3" t="s">
        <v>627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323">
        <f>BM392/Modelling[[#This Row],[Comisined DC ]]/BP392</f>
        <v>0.76632360487815343</v>
      </c>
      <c r="BT392" s="337">
        <f>BN392/BQ392/Modelling[[#This Row],[Comisined DC ]]</f>
        <v>0.76632360487815343</v>
      </c>
      <c r="BU392" s="337">
        <f>BO392/BR392/Modelling[[#This Row],[Comisined DC ]]</f>
        <v>0.76632360487815343</v>
      </c>
      <c r="BV392" s="323">
        <f>BM392/(24*Modelling[[#This Row],[Comisined DC ]])</f>
        <v>0.21148402817956816</v>
      </c>
      <c r="BW392" s="323">
        <f>Modelling[[#This Row],[Target E_Grid MTD
MWh]]/Modelling[[#This Row],[MTD DC Capcity]]/(24*CG392)</f>
        <v>0.21148402817956821</v>
      </c>
      <c r="BX392" s="338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3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627</v>
      </c>
      <c r="F393" s="3" t="s">
        <v>627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323">
        <f t="shared" si="145"/>
        <v>0.66899539130820584</v>
      </c>
      <c r="Q393" s="337">
        <f t="shared" si="146"/>
        <v>0.66899539130820596</v>
      </c>
      <c r="R393" s="337">
        <f t="shared" si="147"/>
        <v>0.66899539130820596</v>
      </c>
      <c r="S393" s="323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338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627</v>
      </c>
      <c r="AD393" s="3" t="s">
        <v>627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323">
        <f t="shared" si="153"/>
        <v>0.95004984012629889</v>
      </c>
      <c r="AO393" s="323">
        <f t="shared" si="154"/>
        <v>0.95004984012629878</v>
      </c>
      <c r="AP393" s="323">
        <f t="shared" si="155"/>
        <v>0.95004984012629878</v>
      </c>
      <c r="AQ393" s="323">
        <f t="shared" si="156"/>
        <v>0.26218736560152167</v>
      </c>
      <c r="AR393" s="323">
        <f>Modelling_new[[#This Row],[Target E_Grid MTD
MWh]]/Modelling_new[[#This Row],[MTD DC Capcity]]/(24*CG393)</f>
        <v>0.23562245978522373</v>
      </c>
      <c r="AS393" s="323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627</v>
      </c>
      <c r="BI393" s="3" t="s">
        <v>627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323">
        <f>BM393/Modelling[[#This Row],[Comisined DC ]]/BP393</f>
        <v>0.76632360487815343</v>
      </c>
      <c r="BT393" s="337">
        <f>BN393/BQ393/Modelling[[#This Row],[Comisined DC ]]</f>
        <v>0.76632360487815343</v>
      </c>
      <c r="BU393" s="337">
        <f>BO393/BR393/Modelling[[#This Row],[Comisined DC ]]</f>
        <v>0.76632360487815343</v>
      </c>
      <c r="BV393" s="323">
        <f>BM393/(24*Modelling[[#This Row],[Comisined DC ]])</f>
        <v>0.21148402817956816</v>
      </c>
      <c r="BW393" s="323">
        <f>Modelling[[#This Row],[Target E_Grid MTD
MWh]]/Modelling[[#This Row],[MTD DC Capcity]]/(24*CG393)</f>
        <v>0.21148402817956816</v>
      </c>
      <c r="BX393" s="338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3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627</v>
      </c>
      <c r="F394" s="3" t="s">
        <v>627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323">
        <f t="shared" si="145"/>
        <v>0.66899539130820584</v>
      </c>
      <c r="Q394" s="337">
        <f t="shared" si="146"/>
        <v>0.66899539130820596</v>
      </c>
      <c r="R394" s="337">
        <f t="shared" si="147"/>
        <v>0.66899539130820596</v>
      </c>
      <c r="S394" s="323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338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627</v>
      </c>
      <c r="AD394" s="3" t="s">
        <v>627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323">
        <f t="shared" si="153"/>
        <v>0.95004984012629889</v>
      </c>
      <c r="AO394" s="323">
        <f t="shared" si="154"/>
        <v>0.95004984012629878</v>
      </c>
      <c r="AP394" s="323">
        <f t="shared" si="155"/>
        <v>0.95004984012629878</v>
      </c>
      <c r="AQ394" s="323">
        <f t="shared" si="156"/>
        <v>0.26218736560152167</v>
      </c>
      <c r="AR394" s="323">
        <f>Modelling_new[[#This Row],[Target E_Grid MTD
MWh]]/Modelling_new[[#This Row],[MTD DC Capcity]]/(24*CG394)</f>
        <v>0.23562245978522373</v>
      </c>
      <c r="AS394" s="323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627</v>
      </c>
      <c r="BI394" s="3" t="s">
        <v>627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323">
        <f>BM394/Modelling[[#This Row],[Comisined DC ]]/BP394</f>
        <v>0.76632360487815343</v>
      </c>
      <c r="BT394" s="337">
        <f>BN394/BQ394/Modelling[[#This Row],[Comisined DC ]]</f>
        <v>0.76632360487815354</v>
      </c>
      <c r="BU394" s="337">
        <f>BO394/BR394/Modelling[[#This Row],[Comisined DC ]]</f>
        <v>0.76632360487815354</v>
      </c>
      <c r="BV394" s="323">
        <f>BM394/(24*Modelling[[#This Row],[Comisined DC ]])</f>
        <v>0.21148402817956816</v>
      </c>
      <c r="BW394" s="323">
        <f>Modelling[[#This Row],[Target E_Grid MTD
MWh]]/Modelling[[#This Row],[MTD DC Capcity]]/(24*CG394)</f>
        <v>0.21148402817956816</v>
      </c>
      <c r="BX394" s="338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3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627</v>
      </c>
      <c r="F395" s="3" t="s">
        <v>627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323">
        <f t="shared" si="145"/>
        <v>0.66899539130820584</v>
      </c>
      <c r="Q395" s="337">
        <f t="shared" si="146"/>
        <v>0.66899539130820596</v>
      </c>
      <c r="R395" s="337">
        <f t="shared" si="147"/>
        <v>0.66899539130820596</v>
      </c>
      <c r="S395" s="323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338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627</v>
      </c>
      <c r="AD395" s="3" t="s">
        <v>627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323">
        <f t="shared" si="153"/>
        <v>0.95004984012629889</v>
      </c>
      <c r="AO395" s="323">
        <f t="shared" si="154"/>
        <v>0.95004984012629878</v>
      </c>
      <c r="AP395" s="323">
        <f t="shared" si="155"/>
        <v>0.95004984012629878</v>
      </c>
      <c r="AQ395" s="323">
        <f t="shared" si="156"/>
        <v>0.26218736560152167</v>
      </c>
      <c r="AR395" s="323">
        <f>Modelling_new[[#This Row],[Target E_Grid MTD
MWh]]/Modelling_new[[#This Row],[MTD DC Capcity]]/(24*CG395)</f>
        <v>0.23562245978522375</v>
      </c>
      <c r="AS395" s="323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627</v>
      </c>
      <c r="BI395" s="3" t="s">
        <v>627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323">
        <f>BM395/Modelling[[#This Row],[Comisined DC ]]/BP395</f>
        <v>0.76632360487815343</v>
      </c>
      <c r="BT395" s="337">
        <f>BN395/BQ395/Modelling[[#This Row],[Comisined DC ]]</f>
        <v>0.76632360487815343</v>
      </c>
      <c r="BU395" s="337">
        <f>BO395/BR395/Modelling[[#This Row],[Comisined DC ]]</f>
        <v>0.76632360487815343</v>
      </c>
      <c r="BV395" s="323">
        <f>BM395/(24*Modelling[[#This Row],[Comisined DC ]])</f>
        <v>0.21148402817956816</v>
      </c>
      <c r="BW395" s="323">
        <f>Modelling[[#This Row],[Target E_Grid MTD
MWh]]/Modelling[[#This Row],[MTD DC Capcity]]/(24*CG395)</f>
        <v>0.21148402817956816</v>
      </c>
      <c r="BX395" s="338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3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627</v>
      </c>
      <c r="F396" s="3" t="s">
        <v>627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323">
        <f t="shared" si="145"/>
        <v>0.66899539130820584</v>
      </c>
      <c r="Q396" s="337">
        <f t="shared" si="146"/>
        <v>0.66899539130820596</v>
      </c>
      <c r="R396" s="337">
        <f t="shared" si="147"/>
        <v>0.66899539130820596</v>
      </c>
      <c r="S396" s="323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338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627</v>
      </c>
      <c r="AD396" s="3" t="s">
        <v>627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323">
        <f t="shared" si="153"/>
        <v>0.95004984012629889</v>
      </c>
      <c r="AO396" s="323">
        <f t="shared" si="154"/>
        <v>0.95004984012629878</v>
      </c>
      <c r="AP396" s="323">
        <f t="shared" si="155"/>
        <v>0.95004984012629878</v>
      </c>
      <c r="AQ396" s="323">
        <f t="shared" si="156"/>
        <v>0.26218736560152167</v>
      </c>
      <c r="AR396" s="323">
        <f>Modelling_new[[#This Row],[Target E_Grid MTD
MWh]]/Modelling_new[[#This Row],[MTD DC Capcity]]/(24*CG396)</f>
        <v>0.2356224597852237</v>
      </c>
      <c r="AS396" s="323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627</v>
      </c>
      <c r="BI396" s="3" t="s">
        <v>627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323">
        <f>BM396/Modelling[[#This Row],[Comisined DC ]]/BP396</f>
        <v>0.76632360487815343</v>
      </c>
      <c r="BT396" s="337">
        <f>BN396/BQ396/Modelling[[#This Row],[Comisined DC ]]</f>
        <v>0.76632360487815354</v>
      </c>
      <c r="BU396" s="337">
        <f>BO396/BR396/Modelling[[#This Row],[Comisined DC ]]</f>
        <v>0.76632360487815354</v>
      </c>
      <c r="BV396" s="323">
        <f>BM396/(24*Modelling[[#This Row],[Comisined DC ]])</f>
        <v>0.21148402817956816</v>
      </c>
      <c r="BW396" s="323">
        <f>Modelling[[#This Row],[Target E_Grid MTD
MWh]]/Modelling[[#This Row],[MTD DC Capcity]]/(24*CG396)</f>
        <v>0.21148402817956827</v>
      </c>
      <c r="BX396" s="338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3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627</v>
      </c>
      <c r="F397" s="3" t="s">
        <v>627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323">
        <f t="shared" si="145"/>
        <v>0.66899539130820584</v>
      </c>
      <c r="Q397" s="337">
        <f t="shared" si="146"/>
        <v>0.66899539130820596</v>
      </c>
      <c r="R397" s="337">
        <f t="shared" si="147"/>
        <v>0.66899539130820596</v>
      </c>
      <c r="S397" s="323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338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627</v>
      </c>
      <c r="AD397" s="3" t="s">
        <v>627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323">
        <f t="shared" si="153"/>
        <v>0.95004984012629889</v>
      </c>
      <c r="AO397" s="323">
        <f t="shared" si="154"/>
        <v>0.95004984012629878</v>
      </c>
      <c r="AP397" s="323">
        <f t="shared" si="155"/>
        <v>0.95004984012629878</v>
      </c>
      <c r="AQ397" s="323">
        <f t="shared" si="156"/>
        <v>0.26218736560152167</v>
      </c>
      <c r="AR397" s="323">
        <f>Modelling_new[[#This Row],[Target E_Grid MTD
MWh]]/Modelling_new[[#This Row],[MTD DC Capcity]]/(24*CG397)</f>
        <v>0.2356224597852237</v>
      </c>
      <c r="AS397" s="323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627</v>
      </c>
      <c r="BI397" s="3" t="s">
        <v>627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323">
        <f>BM397/Modelling[[#This Row],[Comisined DC ]]/BP397</f>
        <v>0.76632360487815343</v>
      </c>
      <c r="BT397" s="337">
        <f>BN397/BQ397/Modelling[[#This Row],[Comisined DC ]]</f>
        <v>0.76632360487815343</v>
      </c>
      <c r="BU397" s="337">
        <f>BO397/BR397/Modelling[[#This Row],[Comisined DC ]]</f>
        <v>0.76632360487815343</v>
      </c>
      <c r="BV397" s="323">
        <f>BM397/(24*Modelling[[#This Row],[Comisined DC ]])</f>
        <v>0.21148402817956816</v>
      </c>
      <c r="BW397" s="323">
        <f>Modelling[[#This Row],[Target E_Grid MTD
MWh]]/Modelling[[#This Row],[MTD DC Capcity]]/(24*CG397)</f>
        <v>0.21148402817956821</v>
      </c>
      <c r="BX397" s="338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3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627</v>
      </c>
      <c r="F398" s="3" t="s">
        <v>627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323">
        <f t="shared" si="145"/>
        <v>0.66899539130820584</v>
      </c>
      <c r="Q398" s="337">
        <f t="shared" si="146"/>
        <v>0.66899539130820596</v>
      </c>
      <c r="R398" s="337">
        <f t="shared" si="147"/>
        <v>0.66899539130820596</v>
      </c>
      <c r="S398" s="323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338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627</v>
      </c>
      <c r="AD398" s="3" t="s">
        <v>627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323">
        <f t="shared" si="153"/>
        <v>0.95004984012629889</v>
      </c>
      <c r="AO398" s="323">
        <f t="shared" si="154"/>
        <v>0.95004984012629867</v>
      </c>
      <c r="AP398" s="323">
        <f t="shared" si="155"/>
        <v>0.95004984012629867</v>
      </c>
      <c r="AQ398" s="323">
        <f t="shared" si="156"/>
        <v>0.26218736560152167</v>
      </c>
      <c r="AR398" s="323">
        <f>Modelling_new[[#This Row],[Target E_Grid MTD
MWh]]/Modelling_new[[#This Row],[MTD DC Capcity]]/(24*CG398)</f>
        <v>0.23562245978522367</v>
      </c>
      <c r="AS398" s="323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627</v>
      </c>
      <c r="BI398" s="3" t="s">
        <v>627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323">
        <f>BM398/Modelling[[#This Row],[Comisined DC ]]/BP398</f>
        <v>0.76632360487815343</v>
      </c>
      <c r="BT398" s="337">
        <f>BN398/BQ398/Modelling[[#This Row],[Comisined DC ]]</f>
        <v>0.76632360487815343</v>
      </c>
      <c r="BU398" s="337">
        <f>BO398/BR398/Modelling[[#This Row],[Comisined DC ]]</f>
        <v>0.76632360487815343</v>
      </c>
      <c r="BV398" s="323">
        <f>BM398/(24*Modelling[[#This Row],[Comisined DC ]])</f>
        <v>0.21148402817956816</v>
      </c>
      <c r="BW398" s="323">
        <f>Modelling[[#This Row],[Target E_Grid MTD
MWh]]/Modelling[[#This Row],[MTD DC Capcity]]/(24*CG398)</f>
        <v>0.21148402817956824</v>
      </c>
      <c r="BX398" s="338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3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627</v>
      </c>
      <c r="F399" s="3" t="s">
        <v>627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323">
        <f t="shared" si="145"/>
        <v>0.66899539130820584</v>
      </c>
      <c r="Q399" s="337">
        <f t="shared" si="146"/>
        <v>0.66899539130820607</v>
      </c>
      <c r="R399" s="337">
        <f t="shared" si="147"/>
        <v>0.66899539130820607</v>
      </c>
      <c r="S399" s="323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338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627</v>
      </c>
      <c r="AD399" s="3" t="s">
        <v>627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323">
        <f t="shared" si="153"/>
        <v>0.95004984012629889</v>
      </c>
      <c r="AO399" s="323">
        <f t="shared" si="154"/>
        <v>0.95004984012629867</v>
      </c>
      <c r="AP399" s="323">
        <f t="shared" si="155"/>
        <v>0.95004984012629867</v>
      </c>
      <c r="AQ399" s="323">
        <f t="shared" si="156"/>
        <v>0.26218736560152167</v>
      </c>
      <c r="AR399" s="323">
        <f>Modelling_new[[#This Row],[Target E_Grid MTD
MWh]]/Modelling_new[[#This Row],[MTD DC Capcity]]/(24*CG399)</f>
        <v>0.23562245978522367</v>
      </c>
      <c r="AS399" s="323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627</v>
      </c>
      <c r="BI399" s="3" t="s">
        <v>627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323">
        <f>BM399/Modelling[[#This Row],[Comisined DC ]]/BP399</f>
        <v>0.76632360487815343</v>
      </c>
      <c r="BT399" s="337">
        <f>BN399/BQ399/Modelling[[#This Row],[Comisined DC ]]</f>
        <v>0.76632360487815343</v>
      </c>
      <c r="BU399" s="337">
        <f>BO399/BR399/Modelling[[#This Row],[Comisined DC ]]</f>
        <v>0.76632360487815343</v>
      </c>
      <c r="BV399" s="323">
        <f>BM399/(24*Modelling[[#This Row],[Comisined DC ]])</f>
        <v>0.21148402817956816</v>
      </c>
      <c r="BW399" s="323">
        <f>Modelling[[#This Row],[Target E_Grid MTD
MWh]]/Modelling[[#This Row],[MTD DC Capcity]]/(24*CG399)</f>
        <v>0.21148402817956824</v>
      </c>
      <c r="BX399" s="338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3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627</v>
      </c>
      <c r="F400" s="3" t="s">
        <v>627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323">
        <f t="shared" si="145"/>
        <v>0.66899539130820584</v>
      </c>
      <c r="Q400" s="337">
        <f t="shared" si="146"/>
        <v>0.66899539130820607</v>
      </c>
      <c r="R400" s="337">
        <f t="shared" si="147"/>
        <v>0.66899539130820607</v>
      </c>
      <c r="S400" s="323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338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627</v>
      </c>
      <c r="AD400" s="3" t="s">
        <v>627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323">
        <f t="shared" si="153"/>
        <v>0.95004984012629889</v>
      </c>
      <c r="AO400" s="323">
        <f t="shared" si="154"/>
        <v>0.95004984012629867</v>
      </c>
      <c r="AP400" s="323">
        <f t="shared" si="155"/>
        <v>0.95004984012629867</v>
      </c>
      <c r="AQ400" s="323">
        <f t="shared" si="156"/>
        <v>0.26218736560152167</v>
      </c>
      <c r="AR400" s="323">
        <f>Modelling_new[[#This Row],[Target E_Grid MTD
MWh]]/Modelling_new[[#This Row],[MTD DC Capcity]]/(24*CG400)</f>
        <v>0.23562245978522364</v>
      </c>
      <c r="AS400" s="323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627</v>
      </c>
      <c r="BI400" s="3" t="s">
        <v>627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323">
        <f>BM400/Modelling[[#This Row],[Comisined DC ]]/BP400</f>
        <v>0.76632360487815343</v>
      </c>
      <c r="BT400" s="337">
        <f>BN400/BQ400/Modelling[[#This Row],[Comisined DC ]]</f>
        <v>0.76632360487815343</v>
      </c>
      <c r="BU400" s="337">
        <f>BO400/BR400/Modelling[[#This Row],[Comisined DC ]]</f>
        <v>0.76632360487815343</v>
      </c>
      <c r="BV400" s="323">
        <f>BM400/(24*Modelling[[#This Row],[Comisined DC ]])</f>
        <v>0.21148402817956816</v>
      </c>
      <c r="BW400" s="323">
        <f>Modelling[[#This Row],[Target E_Grid MTD
MWh]]/Modelling[[#This Row],[MTD DC Capcity]]/(24*CG400)</f>
        <v>0.21148402817956824</v>
      </c>
      <c r="BX400" s="338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3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627</v>
      </c>
      <c r="F401" s="3" t="s">
        <v>627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323">
        <f t="shared" si="145"/>
        <v>0.66899539130820584</v>
      </c>
      <c r="Q401" s="337">
        <f t="shared" si="146"/>
        <v>0.66899539130820607</v>
      </c>
      <c r="R401" s="337">
        <f t="shared" si="147"/>
        <v>0.66899539130820607</v>
      </c>
      <c r="S401" s="323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338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627</v>
      </c>
      <c r="AD401" s="3" t="s">
        <v>627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323">
        <f t="shared" si="153"/>
        <v>0.95004984012629889</v>
      </c>
      <c r="AO401" s="323">
        <f t="shared" si="154"/>
        <v>0.95004984012629867</v>
      </c>
      <c r="AP401" s="323">
        <f t="shared" si="155"/>
        <v>0.95004984012629867</v>
      </c>
      <c r="AQ401" s="323">
        <f t="shared" si="156"/>
        <v>0.26218736560152167</v>
      </c>
      <c r="AR401" s="323">
        <f>Modelling_new[[#This Row],[Target E_Grid MTD
MWh]]/Modelling_new[[#This Row],[MTD DC Capcity]]/(24*CG401)</f>
        <v>0.23562245978522361</v>
      </c>
      <c r="AS401" s="323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627</v>
      </c>
      <c r="BI401" s="3" t="s">
        <v>627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323">
        <f>BM401/Modelling[[#This Row],[Comisined DC ]]/BP401</f>
        <v>0.76632360487815343</v>
      </c>
      <c r="BT401" s="337">
        <f>BN401/BQ401/Modelling[[#This Row],[Comisined DC ]]</f>
        <v>0.76632360487815343</v>
      </c>
      <c r="BU401" s="337">
        <f>BO401/BR401/Modelling[[#This Row],[Comisined DC ]]</f>
        <v>0.76632360487815343</v>
      </c>
      <c r="BV401" s="323">
        <f>BM401/(24*Modelling[[#This Row],[Comisined DC ]])</f>
        <v>0.21148402817956816</v>
      </c>
      <c r="BW401" s="323">
        <f>Modelling[[#This Row],[Target E_Grid MTD
MWh]]/Modelling[[#This Row],[MTD DC Capcity]]/(24*CG401)</f>
        <v>0.2114840281795683</v>
      </c>
      <c r="BX401" s="338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3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627</v>
      </c>
      <c r="F402" s="3" t="s">
        <v>627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323">
        <f t="shared" si="145"/>
        <v>0.66899539130820584</v>
      </c>
      <c r="Q402" s="337">
        <f t="shared" si="146"/>
        <v>0.66899539130820607</v>
      </c>
      <c r="R402" s="337">
        <f t="shared" si="147"/>
        <v>0.66899539130820607</v>
      </c>
      <c r="S402" s="323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338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627</v>
      </c>
      <c r="AD402" s="3" t="s">
        <v>627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323">
        <f t="shared" si="153"/>
        <v>0.95004984012629889</v>
      </c>
      <c r="AO402" s="323">
        <f t="shared" si="154"/>
        <v>0.95004984012629878</v>
      </c>
      <c r="AP402" s="323">
        <f t="shared" si="155"/>
        <v>0.95004984012629878</v>
      </c>
      <c r="AQ402" s="323">
        <f t="shared" si="156"/>
        <v>0.26218736560152167</v>
      </c>
      <c r="AR402" s="323">
        <f>Modelling_new[[#This Row],[Target E_Grid MTD
MWh]]/Modelling_new[[#This Row],[MTD DC Capcity]]/(24*CG402)</f>
        <v>0.23562245978522361</v>
      </c>
      <c r="AS402" s="323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627</v>
      </c>
      <c r="BI402" s="3" t="s">
        <v>627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323">
        <f>BM402/Modelling[[#This Row],[Comisined DC ]]/BP402</f>
        <v>0.76632360487815343</v>
      </c>
      <c r="BT402" s="337">
        <f>BN402/BQ402/Modelling[[#This Row],[Comisined DC ]]</f>
        <v>0.76632360487815354</v>
      </c>
      <c r="BU402" s="337">
        <f>BO402/BR402/Modelling[[#This Row],[Comisined DC ]]</f>
        <v>0.76632360487815354</v>
      </c>
      <c r="BV402" s="323">
        <f>BM402/(24*Modelling[[#This Row],[Comisined DC ]])</f>
        <v>0.21148402817956816</v>
      </c>
      <c r="BW402" s="323">
        <f>Modelling[[#This Row],[Target E_Grid MTD
MWh]]/Modelling[[#This Row],[MTD DC Capcity]]/(24*CG402)</f>
        <v>0.21148402817956832</v>
      </c>
      <c r="BX402" s="338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3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627</v>
      </c>
      <c r="F403" s="3" t="s">
        <v>627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323">
        <f t="shared" si="145"/>
        <v>0.66899539130820584</v>
      </c>
      <c r="Q403" s="337">
        <f t="shared" si="146"/>
        <v>0.66899539130820618</v>
      </c>
      <c r="R403" s="337">
        <f t="shared" si="147"/>
        <v>0.66899539130820618</v>
      </c>
      <c r="S403" s="323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338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627</v>
      </c>
      <c r="AD403" s="3" t="s">
        <v>627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323">
        <f t="shared" si="153"/>
        <v>0.95004984012629889</v>
      </c>
      <c r="AO403" s="323">
        <f t="shared" si="154"/>
        <v>0.95004984012629878</v>
      </c>
      <c r="AP403" s="323">
        <f t="shared" si="155"/>
        <v>0.95004984012629878</v>
      </c>
      <c r="AQ403" s="323">
        <f t="shared" si="156"/>
        <v>0.26218736560152167</v>
      </c>
      <c r="AR403" s="323">
        <f>Modelling_new[[#This Row],[Target E_Grid MTD
MWh]]/Modelling_new[[#This Row],[MTD DC Capcity]]/(24*CG403)</f>
        <v>0.23562245978522364</v>
      </c>
      <c r="AS403" s="323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627</v>
      </c>
      <c r="BI403" s="3" t="s">
        <v>627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323">
        <f>BM403/Modelling[[#This Row],[Comisined DC ]]/BP403</f>
        <v>0.76632360487815343</v>
      </c>
      <c r="BT403" s="337">
        <f>BN403/BQ403/Modelling[[#This Row],[Comisined DC ]]</f>
        <v>0.76632360487815354</v>
      </c>
      <c r="BU403" s="337">
        <f>BO403/BR403/Modelling[[#This Row],[Comisined DC ]]</f>
        <v>0.76632360487815354</v>
      </c>
      <c r="BV403" s="323">
        <f>BM403/(24*Modelling[[#This Row],[Comisined DC ]])</f>
        <v>0.21148402817956816</v>
      </c>
      <c r="BW403" s="323">
        <f>Modelling[[#This Row],[Target E_Grid MTD
MWh]]/Modelling[[#This Row],[MTD DC Capcity]]/(24*CG403)</f>
        <v>0.2114840281795683</v>
      </c>
      <c r="BX403" s="338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3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627</v>
      </c>
      <c r="F404" s="3" t="s">
        <v>627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323">
        <f t="shared" si="145"/>
        <v>0.66899539130820584</v>
      </c>
      <c r="Q404" s="337">
        <f t="shared" si="146"/>
        <v>0.66899539130820618</v>
      </c>
      <c r="R404" s="337">
        <f t="shared" si="147"/>
        <v>0.66899539130820618</v>
      </c>
      <c r="S404" s="323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338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627</v>
      </c>
      <c r="AD404" s="3" t="s">
        <v>627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323">
        <f t="shared" si="153"/>
        <v>0.95004984012629889</v>
      </c>
      <c r="AO404" s="323">
        <f t="shared" si="154"/>
        <v>0.95004984012629878</v>
      </c>
      <c r="AP404" s="323">
        <f t="shared" si="155"/>
        <v>0.95004984012629878</v>
      </c>
      <c r="AQ404" s="323">
        <f t="shared" si="156"/>
        <v>0.26218736560152167</v>
      </c>
      <c r="AR404" s="323">
        <f>Modelling_new[[#This Row],[Target E_Grid MTD
MWh]]/Modelling_new[[#This Row],[MTD DC Capcity]]/(24*CG404)</f>
        <v>0.23562245978522367</v>
      </c>
      <c r="AS404" s="323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627</v>
      </c>
      <c r="BI404" s="3" t="s">
        <v>627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323">
        <f>BM404/Modelling[[#This Row],[Comisined DC ]]/BP404</f>
        <v>0.76632360487815343</v>
      </c>
      <c r="BT404" s="337">
        <f>BN404/BQ404/Modelling[[#This Row],[Comisined DC ]]</f>
        <v>0.76632360487815343</v>
      </c>
      <c r="BU404" s="337">
        <f>BO404/BR404/Modelling[[#This Row],[Comisined DC ]]</f>
        <v>0.76632360487815343</v>
      </c>
      <c r="BV404" s="323">
        <f>BM404/(24*Modelling[[#This Row],[Comisined DC ]])</f>
        <v>0.21148402817956816</v>
      </c>
      <c r="BW404" s="323">
        <f>Modelling[[#This Row],[Target E_Grid MTD
MWh]]/Modelling[[#This Row],[MTD DC Capcity]]/(24*CG404)</f>
        <v>0.21148402817956827</v>
      </c>
      <c r="BX404" s="338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3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627</v>
      </c>
      <c r="F405" s="3" t="s">
        <v>627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323">
        <f t="shared" si="145"/>
        <v>0.66899539130820584</v>
      </c>
      <c r="Q405" s="337">
        <f t="shared" si="146"/>
        <v>0.66899539130820618</v>
      </c>
      <c r="R405" s="337">
        <f t="shared" si="147"/>
        <v>0.66899539130820618</v>
      </c>
      <c r="S405" s="323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338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627</v>
      </c>
      <c r="AD405" s="3" t="s">
        <v>627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323">
        <f t="shared" si="153"/>
        <v>0.95004984012629889</v>
      </c>
      <c r="AO405" s="323">
        <f t="shared" si="154"/>
        <v>0.95004984012629878</v>
      </c>
      <c r="AP405" s="323">
        <f t="shared" si="155"/>
        <v>0.95004984012629878</v>
      </c>
      <c r="AQ405" s="323">
        <f t="shared" si="156"/>
        <v>0.26218736560152167</v>
      </c>
      <c r="AR405" s="323">
        <f>Modelling_new[[#This Row],[Target E_Grid MTD
MWh]]/Modelling_new[[#This Row],[MTD DC Capcity]]/(24*CG405)</f>
        <v>0.23562245978522364</v>
      </c>
      <c r="AS405" s="323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627</v>
      </c>
      <c r="BI405" s="3" t="s">
        <v>627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323">
        <f>BM405/Modelling[[#This Row],[Comisined DC ]]/BP405</f>
        <v>0.76632360487815343</v>
      </c>
      <c r="BT405" s="337">
        <f>BN405/BQ405/Modelling[[#This Row],[Comisined DC ]]</f>
        <v>0.76632360487815354</v>
      </c>
      <c r="BU405" s="337">
        <f>BO405/BR405/Modelling[[#This Row],[Comisined DC ]]</f>
        <v>0.76632360487815354</v>
      </c>
      <c r="BV405" s="323">
        <f>BM405/(24*Modelling[[#This Row],[Comisined DC ]])</f>
        <v>0.21148402817956816</v>
      </c>
      <c r="BW405" s="323">
        <f>Modelling[[#This Row],[Target E_Grid MTD
MWh]]/Modelling[[#This Row],[MTD DC Capcity]]/(24*CG405)</f>
        <v>0.21148402817956832</v>
      </c>
      <c r="BX405" s="338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3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627</v>
      </c>
      <c r="F406" s="3" t="s">
        <v>627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323">
        <f t="shared" si="145"/>
        <v>0.66899539130820584</v>
      </c>
      <c r="Q406" s="337">
        <f t="shared" si="146"/>
        <v>0.66899539130820618</v>
      </c>
      <c r="R406" s="337">
        <f t="shared" si="147"/>
        <v>0.66899539130820618</v>
      </c>
      <c r="S406" s="323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338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627</v>
      </c>
      <c r="AD406" s="3" t="s">
        <v>627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323">
        <f t="shared" si="153"/>
        <v>0.95004984012629889</v>
      </c>
      <c r="AO406" s="323">
        <f t="shared" si="154"/>
        <v>0.95004984012629878</v>
      </c>
      <c r="AP406" s="323">
        <f t="shared" si="155"/>
        <v>0.95004984012629878</v>
      </c>
      <c r="AQ406" s="323">
        <f t="shared" si="156"/>
        <v>0.26218736560152167</v>
      </c>
      <c r="AR406" s="323">
        <f>Modelling_new[[#This Row],[Target E_Grid MTD
MWh]]/Modelling_new[[#This Row],[MTD DC Capcity]]/(24*CG406)</f>
        <v>0.23562245978522364</v>
      </c>
      <c r="AS406" s="323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627</v>
      </c>
      <c r="BI406" s="3" t="s">
        <v>627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323">
        <f>BM406/Modelling[[#This Row],[Comisined DC ]]/BP406</f>
        <v>0.76632360487815343</v>
      </c>
      <c r="BT406" s="337">
        <f>BN406/BQ406/Modelling[[#This Row],[Comisined DC ]]</f>
        <v>0.76632360487815354</v>
      </c>
      <c r="BU406" s="337">
        <f>BO406/BR406/Modelling[[#This Row],[Comisined DC ]]</f>
        <v>0.76632360487815354</v>
      </c>
      <c r="BV406" s="323">
        <f>BM406/(24*Modelling[[#This Row],[Comisined DC ]])</f>
        <v>0.21148402817956816</v>
      </c>
      <c r="BW406" s="323">
        <f>Modelling[[#This Row],[Target E_Grid MTD
MWh]]/Modelling[[#This Row],[MTD DC Capcity]]/(24*CG406)</f>
        <v>0.21148402817956835</v>
      </c>
      <c r="BX406" s="338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3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627</v>
      </c>
      <c r="F407" s="3" t="s">
        <v>627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323">
        <f t="shared" si="145"/>
        <v>0.66899539130820584</v>
      </c>
      <c r="Q407" s="337">
        <f t="shared" si="146"/>
        <v>0.66899539130820618</v>
      </c>
      <c r="R407" s="337">
        <f t="shared" si="147"/>
        <v>0.66899539130820618</v>
      </c>
      <c r="S407" s="323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338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627</v>
      </c>
      <c r="AD407" s="3" t="s">
        <v>627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323">
        <f t="shared" si="153"/>
        <v>0.95004984012629889</v>
      </c>
      <c r="AO407" s="323">
        <f t="shared" si="154"/>
        <v>0.95004984012629878</v>
      </c>
      <c r="AP407" s="323">
        <f t="shared" si="155"/>
        <v>0.95004984012629878</v>
      </c>
      <c r="AQ407" s="323">
        <f t="shared" si="156"/>
        <v>0.26218736560152167</v>
      </c>
      <c r="AR407" s="323">
        <f>Modelling_new[[#This Row],[Target E_Grid MTD
MWh]]/Modelling_new[[#This Row],[MTD DC Capcity]]/(24*CG407)</f>
        <v>0.23562245978522364</v>
      </c>
      <c r="AS407" s="323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627</v>
      </c>
      <c r="BI407" s="3" t="s">
        <v>627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323">
        <f>BM407/Modelling[[#This Row],[Comisined DC ]]/BP407</f>
        <v>0.76632360487815343</v>
      </c>
      <c r="BT407" s="337">
        <f>BN407/BQ407/Modelling[[#This Row],[Comisined DC ]]</f>
        <v>0.76632360487815354</v>
      </c>
      <c r="BU407" s="337">
        <f>BO407/BR407/Modelling[[#This Row],[Comisined DC ]]</f>
        <v>0.76632360487815354</v>
      </c>
      <c r="BV407" s="323">
        <f>BM407/(24*Modelling[[#This Row],[Comisined DC ]])</f>
        <v>0.21148402817956816</v>
      </c>
      <c r="BW407" s="323">
        <f>Modelling[[#This Row],[Target E_Grid MTD
MWh]]/Modelling[[#This Row],[MTD DC Capcity]]/(24*CG407)</f>
        <v>0.21148402817956835</v>
      </c>
      <c r="BX407" s="338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3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627</v>
      </c>
      <c r="F408" s="3" t="s">
        <v>627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323">
        <f t="shared" si="145"/>
        <v>0.66899539130820584</v>
      </c>
      <c r="Q408" s="337">
        <f t="shared" si="146"/>
        <v>0.66899539130820618</v>
      </c>
      <c r="R408" s="337">
        <f t="shared" si="147"/>
        <v>0.66899539130820618</v>
      </c>
      <c r="S408" s="323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338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627</v>
      </c>
      <c r="AD408" s="3" t="s">
        <v>627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323">
        <f t="shared" si="153"/>
        <v>0.95004984012629889</v>
      </c>
      <c r="AO408" s="323">
        <f t="shared" si="154"/>
        <v>0.95004984012629878</v>
      </c>
      <c r="AP408" s="323">
        <f t="shared" si="155"/>
        <v>0.95004984012629878</v>
      </c>
      <c r="AQ408" s="323">
        <f t="shared" si="156"/>
        <v>0.26218736560152167</v>
      </c>
      <c r="AR408" s="323">
        <f>Modelling_new[[#This Row],[Target E_Grid MTD
MWh]]/Modelling_new[[#This Row],[MTD DC Capcity]]/(24*CG408)</f>
        <v>0.23562245978522364</v>
      </c>
      <c r="AS408" s="323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627</v>
      </c>
      <c r="BI408" s="3" t="s">
        <v>627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323">
        <f>BM408/Modelling[[#This Row],[Comisined DC ]]/BP408</f>
        <v>0.76632360487815343</v>
      </c>
      <c r="BT408" s="337">
        <f>BN408/BQ408/Modelling[[#This Row],[Comisined DC ]]</f>
        <v>0.76632360487815343</v>
      </c>
      <c r="BU408" s="337">
        <f>BO408/BR408/Modelling[[#This Row],[Comisined DC ]]</f>
        <v>0.76632360487815343</v>
      </c>
      <c r="BV408" s="323">
        <f>BM408/(24*Modelling[[#This Row],[Comisined DC ]])</f>
        <v>0.21148402817956816</v>
      </c>
      <c r="BW408" s="323">
        <f>Modelling[[#This Row],[Target E_Grid MTD
MWh]]/Modelling[[#This Row],[MTD DC Capcity]]/(24*CG408)</f>
        <v>0.2114840281795683</v>
      </c>
      <c r="BX408" s="338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3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627</v>
      </c>
      <c r="F409" s="3" t="s">
        <v>627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323">
        <f t="shared" si="145"/>
        <v>0.66899539130820584</v>
      </c>
      <c r="Q409" s="337">
        <f t="shared" si="146"/>
        <v>0.66899539130820618</v>
      </c>
      <c r="R409" s="337">
        <f t="shared" si="147"/>
        <v>0.66899539130820618</v>
      </c>
      <c r="S409" s="323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338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627</v>
      </c>
      <c r="AD409" s="3" t="s">
        <v>627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323">
        <f t="shared" si="153"/>
        <v>0.95004984012629889</v>
      </c>
      <c r="AO409" s="323">
        <f t="shared" si="154"/>
        <v>0.95004984012629878</v>
      </c>
      <c r="AP409" s="323">
        <f t="shared" si="155"/>
        <v>0.95004984012629878</v>
      </c>
      <c r="AQ409" s="323">
        <f t="shared" si="156"/>
        <v>0.26218736560152167</v>
      </c>
      <c r="AR409" s="323">
        <f>Modelling_new[[#This Row],[Target E_Grid MTD
MWh]]/Modelling_new[[#This Row],[MTD DC Capcity]]/(24*CG409)</f>
        <v>0.23562245978522364</v>
      </c>
      <c r="AS409" s="323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627</v>
      </c>
      <c r="BI409" s="3" t="s">
        <v>627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323">
        <f>BM409/Modelling[[#This Row],[Comisined DC ]]/BP409</f>
        <v>0.76632360487815343</v>
      </c>
      <c r="BT409" s="337">
        <f>BN409/BQ409/Modelling[[#This Row],[Comisined DC ]]</f>
        <v>0.76632360487815354</v>
      </c>
      <c r="BU409" s="337">
        <f>BO409/BR409/Modelling[[#This Row],[Comisined DC ]]</f>
        <v>0.76632360487815354</v>
      </c>
      <c r="BV409" s="323">
        <f>BM409/(24*Modelling[[#This Row],[Comisined DC ]])</f>
        <v>0.21148402817956816</v>
      </c>
      <c r="BW409" s="323">
        <f>Modelling[[#This Row],[Target E_Grid MTD
MWh]]/Modelling[[#This Row],[MTD DC Capcity]]/(24*CG409)</f>
        <v>0.21148402817956835</v>
      </c>
      <c r="BX409" s="338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3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627</v>
      </c>
      <c r="F410" s="3" t="s">
        <v>627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323">
        <f t="shared" si="145"/>
        <v>0.66899539130820584</v>
      </c>
      <c r="Q410" s="337">
        <f t="shared" si="146"/>
        <v>0.66899539130820618</v>
      </c>
      <c r="R410" s="337">
        <f t="shared" si="147"/>
        <v>0.66899539130820618</v>
      </c>
      <c r="S410" s="323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338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627</v>
      </c>
      <c r="AD410" s="3" t="s">
        <v>627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323">
        <f t="shared" si="153"/>
        <v>0.95004984012629889</v>
      </c>
      <c r="AO410" s="323">
        <f t="shared" si="154"/>
        <v>0.95004984012629878</v>
      </c>
      <c r="AP410" s="323">
        <f t="shared" si="155"/>
        <v>0.95004984012629878</v>
      </c>
      <c r="AQ410" s="323">
        <f t="shared" si="156"/>
        <v>0.26218736560152167</v>
      </c>
      <c r="AR410" s="323">
        <f>Modelling_new[[#This Row],[Target E_Grid MTD
MWh]]/Modelling_new[[#This Row],[MTD DC Capcity]]/(24*CG410)</f>
        <v>0.23562245978522367</v>
      </c>
      <c r="AS410" s="323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627</v>
      </c>
      <c r="BI410" s="3" t="s">
        <v>627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323">
        <f>BM410/Modelling[[#This Row],[Comisined DC ]]/BP410</f>
        <v>0.76632360487815343</v>
      </c>
      <c r="BT410" s="337">
        <f>BN410/BQ410/Modelling[[#This Row],[Comisined DC ]]</f>
        <v>0.76632360487815354</v>
      </c>
      <c r="BU410" s="337">
        <f>BO410/BR410/Modelling[[#This Row],[Comisined DC ]]</f>
        <v>0.76632360487815354</v>
      </c>
      <c r="BV410" s="323">
        <f>BM410/(24*Modelling[[#This Row],[Comisined DC ]])</f>
        <v>0.21148402817956816</v>
      </c>
      <c r="BW410" s="323">
        <f>Modelling[[#This Row],[Target E_Grid MTD
MWh]]/Modelling[[#This Row],[MTD DC Capcity]]/(24*CG410)</f>
        <v>0.21148402817956835</v>
      </c>
      <c r="BX410" s="338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3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627</v>
      </c>
      <c r="F411" s="3" t="s">
        <v>627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323">
        <f t="shared" si="145"/>
        <v>0.66899539130820584</v>
      </c>
      <c r="Q411" s="337">
        <f t="shared" si="146"/>
        <v>0.66899539130820618</v>
      </c>
      <c r="R411" s="337">
        <f t="shared" si="147"/>
        <v>0.66899539130820618</v>
      </c>
      <c r="S411" s="323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338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627</v>
      </c>
      <c r="AD411" s="3" t="s">
        <v>627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323">
        <f t="shared" si="153"/>
        <v>0.95004984012629889</v>
      </c>
      <c r="AO411" s="323">
        <f t="shared" si="154"/>
        <v>0.95004984012629878</v>
      </c>
      <c r="AP411" s="323">
        <f t="shared" si="155"/>
        <v>0.95004984012629878</v>
      </c>
      <c r="AQ411" s="323">
        <f t="shared" si="156"/>
        <v>0.26218736560152167</v>
      </c>
      <c r="AR411" s="323">
        <f>Modelling_new[[#This Row],[Target E_Grid MTD
MWh]]/Modelling_new[[#This Row],[MTD DC Capcity]]/(24*CG411)</f>
        <v>0.23562245978522361</v>
      </c>
      <c r="AS411" s="323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627</v>
      </c>
      <c r="BI411" s="3" t="s">
        <v>627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323">
        <f>BM411/Modelling[[#This Row],[Comisined DC ]]/BP411</f>
        <v>0.76632360487815343</v>
      </c>
      <c r="BT411" s="337">
        <f>BN411/BQ411/Modelling[[#This Row],[Comisined DC ]]</f>
        <v>0.76632360487815354</v>
      </c>
      <c r="BU411" s="337">
        <f>BO411/BR411/Modelling[[#This Row],[Comisined DC ]]</f>
        <v>0.76632360487815354</v>
      </c>
      <c r="BV411" s="323">
        <f>BM411/(24*Modelling[[#This Row],[Comisined DC ]])</f>
        <v>0.21148402817956816</v>
      </c>
      <c r="BW411" s="323">
        <f>Modelling[[#This Row],[Target E_Grid MTD
MWh]]/Modelling[[#This Row],[MTD DC Capcity]]/(24*CG411)</f>
        <v>0.21148402817956838</v>
      </c>
      <c r="BX411" s="338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3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627</v>
      </c>
      <c r="F412" s="3" t="s">
        <v>627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323">
        <f t="shared" si="145"/>
        <v>0.66899539130820584</v>
      </c>
      <c r="Q412" s="337">
        <f t="shared" si="146"/>
        <v>0.66899539130820618</v>
      </c>
      <c r="R412" s="337">
        <f t="shared" si="147"/>
        <v>0.66899539130820618</v>
      </c>
      <c r="S412" s="323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338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627</v>
      </c>
      <c r="AD412" s="3" t="s">
        <v>627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323">
        <f t="shared" si="153"/>
        <v>0.95004984012629889</v>
      </c>
      <c r="AO412" s="323">
        <f t="shared" si="154"/>
        <v>0.95004984012629867</v>
      </c>
      <c r="AP412" s="323">
        <f t="shared" si="155"/>
        <v>0.95004984012629867</v>
      </c>
      <c r="AQ412" s="323">
        <f t="shared" si="156"/>
        <v>0.26218736560152167</v>
      </c>
      <c r="AR412" s="323">
        <f>Modelling_new[[#This Row],[Target E_Grid MTD
MWh]]/Modelling_new[[#This Row],[MTD DC Capcity]]/(24*CG412)</f>
        <v>0.23562245978522359</v>
      </c>
      <c r="AS412" s="323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627</v>
      </c>
      <c r="BI412" s="3" t="s">
        <v>627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323">
        <f>BM412/Modelling[[#This Row],[Comisined DC ]]/BP412</f>
        <v>0.76632360487815343</v>
      </c>
      <c r="BT412" s="337">
        <f>BN412/BQ412/Modelling[[#This Row],[Comisined DC ]]</f>
        <v>0.76632360487815343</v>
      </c>
      <c r="BU412" s="337">
        <f>BO412/BR412/Modelling[[#This Row],[Comisined DC ]]</f>
        <v>0.76632360487815343</v>
      </c>
      <c r="BV412" s="323">
        <f>BM412/(24*Modelling[[#This Row],[Comisined DC ]])</f>
        <v>0.21148402817956816</v>
      </c>
      <c r="BW412" s="323">
        <f>Modelling[[#This Row],[Target E_Grid MTD
MWh]]/Modelling[[#This Row],[MTD DC Capcity]]/(24*CG412)</f>
        <v>0.21148402817956838</v>
      </c>
      <c r="BX412" s="338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3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627</v>
      </c>
      <c r="F413" s="3" t="s">
        <v>627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323">
        <f t="shared" si="145"/>
        <v>0.66899539130820584</v>
      </c>
      <c r="Q413" s="337">
        <f t="shared" si="146"/>
        <v>0.66899539130820618</v>
      </c>
      <c r="R413" s="337">
        <f t="shared" si="147"/>
        <v>0.66899539130820618</v>
      </c>
      <c r="S413" s="323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338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627</v>
      </c>
      <c r="AD413" s="3" t="s">
        <v>627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323">
        <f t="shared" si="153"/>
        <v>0.95004984012629889</v>
      </c>
      <c r="AO413" s="323">
        <f t="shared" si="154"/>
        <v>0.95004984012629867</v>
      </c>
      <c r="AP413" s="323">
        <f t="shared" si="155"/>
        <v>0.95004984012629867</v>
      </c>
      <c r="AQ413" s="323">
        <f t="shared" si="156"/>
        <v>0.26218736560152167</v>
      </c>
      <c r="AR413" s="323">
        <f>Modelling_new[[#This Row],[Target E_Grid MTD
MWh]]/Modelling_new[[#This Row],[MTD DC Capcity]]/(24*CG413)</f>
        <v>0.23562245978522359</v>
      </c>
      <c r="AS413" s="323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627</v>
      </c>
      <c r="BI413" s="3" t="s">
        <v>627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323">
        <f>BM413/Modelling[[#This Row],[Comisined DC ]]/BP413</f>
        <v>0.76632360487815343</v>
      </c>
      <c r="BT413" s="337">
        <f>BN413/BQ413/Modelling[[#This Row],[Comisined DC ]]</f>
        <v>0.76632360487815354</v>
      </c>
      <c r="BU413" s="337">
        <f>BO413/BR413/Modelling[[#This Row],[Comisined DC ]]</f>
        <v>0.76632360487815354</v>
      </c>
      <c r="BV413" s="323">
        <f>BM413/(24*Modelling[[#This Row],[Comisined DC ]])</f>
        <v>0.21148402817956816</v>
      </c>
      <c r="BW413" s="323">
        <f>Modelling[[#This Row],[Target E_Grid MTD
MWh]]/Modelling[[#This Row],[MTD DC Capcity]]/(24*CG413)</f>
        <v>0.21148402817956835</v>
      </c>
      <c r="BX413" s="338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3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627</v>
      </c>
      <c r="F414" s="3" t="s">
        <v>627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323">
        <f t="shared" si="145"/>
        <v>0.67587898543107972</v>
      </c>
      <c r="Q414" s="337">
        <f t="shared" si="146"/>
        <v>0.67587898543107972</v>
      </c>
      <c r="R414" s="337">
        <f t="shared" si="147"/>
        <v>0.66921438180670023</v>
      </c>
      <c r="S414" s="323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338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627</v>
      </c>
      <c r="AD414" s="3" t="s">
        <v>627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323">
        <f t="shared" si="153"/>
        <v>0.92752401442995447</v>
      </c>
      <c r="AO414" s="323">
        <f t="shared" si="154"/>
        <v>0.92752401442995447</v>
      </c>
      <c r="AP414" s="323">
        <f t="shared" si="155"/>
        <v>0.94933321713688623</v>
      </c>
      <c r="AQ414" s="323">
        <f t="shared" si="156"/>
        <v>0.25232642543094463</v>
      </c>
      <c r="AR414" s="323">
        <f>Modelling_new[[#This Row],[Target E_Grid MTD
MWh]]/Modelling_new[[#This Row],[MTD DC Capcity]]/(24*CG414)</f>
        <v>0.22676063315427331</v>
      </c>
      <c r="AS414" s="323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627</v>
      </c>
      <c r="BI414" s="3" t="s">
        <v>627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323">
        <f>BM414/Modelling[[#This Row],[Comisined DC ]]/BP414</f>
        <v>0.75891985169387688</v>
      </c>
      <c r="BT414" s="337">
        <f>BN414/BQ414/Modelling[[#This Row],[Comisined DC ]]</f>
        <v>0.75891985169387699</v>
      </c>
      <c r="BU414" s="337">
        <f>BO414/BR414/Modelling[[#This Row],[Comisined DC ]]</f>
        <v>0.76608806635400295</v>
      </c>
      <c r="BV414" s="323">
        <f>BM414/(24*Modelling[[#This Row],[Comisined DC ]])</f>
        <v>0.2064588413747859</v>
      </c>
      <c r="BW414" s="323">
        <f>Modelling[[#This Row],[Target E_Grid MTD
MWh]]/Modelling[[#This Row],[MTD DC Capcity]]/(24*CG414)</f>
        <v>0.20645884137478587</v>
      </c>
      <c r="BX414" s="338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3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627</v>
      </c>
      <c r="F415" s="3" t="s">
        <v>627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323">
        <f t="shared" si="145"/>
        <v>0.67587898543107972</v>
      </c>
      <c r="Q415" s="337">
        <f t="shared" si="146"/>
        <v>0.67587898543107972</v>
      </c>
      <c r="R415" s="337">
        <f t="shared" si="147"/>
        <v>0.66941986825251854</v>
      </c>
      <c r="S415" s="323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338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627</v>
      </c>
      <c r="AD415" s="3" t="s">
        <v>627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323">
        <f t="shared" si="153"/>
        <v>0.92752401442995447</v>
      </c>
      <c r="AO415" s="323">
        <f t="shared" si="154"/>
        <v>0.92752401442995447</v>
      </c>
      <c r="AP415" s="323">
        <f t="shared" si="155"/>
        <v>0.94866078471585136</v>
      </c>
      <c r="AQ415" s="323">
        <f t="shared" si="156"/>
        <v>0.25232642543094463</v>
      </c>
      <c r="AR415" s="323">
        <f>Modelling_new[[#This Row],[Target E_Grid MTD
MWh]]/Modelling_new[[#This Row],[MTD DC Capcity]]/(24*CG415)</f>
        <v>0.22676063315427331</v>
      </c>
      <c r="AS415" s="323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627</v>
      </c>
      <c r="BI415" s="3" t="s">
        <v>627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323">
        <f>BM415/Modelling[[#This Row],[Comisined DC ]]/BP415</f>
        <v>0.75891985169387688</v>
      </c>
      <c r="BT415" s="337">
        <f>BN415/BQ415/Modelling[[#This Row],[Comisined DC ]]</f>
        <v>0.75891985169387699</v>
      </c>
      <c r="BU415" s="337">
        <f>BO415/BR415/Modelling[[#This Row],[Comisined DC ]]</f>
        <v>0.76586705231680141</v>
      </c>
      <c r="BV415" s="323">
        <f>BM415/(24*Modelling[[#This Row],[Comisined DC ]])</f>
        <v>0.2064588413747859</v>
      </c>
      <c r="BW415" s="323">
        <f>Modelling[[#This Row],[Target E_Grid MTD
MWh]]/Modelling[[#This Row],[MTD DC Capcity]]/(24*CG415)</f>
        <v>0.20645884137478587</v>
      </c>
      <c r="BX415" s="338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3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627</v>
      </c>
      <c r="F416" s="3" t="s">
        <v>627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323">
        <f t="shared" si="145"/>
        <v>0.67587898543107972</v>
      </c>
      <c r="Q416" s="337">
        <f t="shared" si="146"/>
        <v>0.67587898543107983</v>
      </c>
      <c r="R416" s="337">
        <f t="shared" si="147"/>
        <v>0.66961306237640705</v>
      </c>
      <c r="S416" s="323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338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627</v>
      </c>
      <c r="AD416" s="3" t="s">
        <v>627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323">
        <f t="shared" si="153"/>
        <v>0.92752401442995447</v>
      </c>
      <c r="AO416" s="323">
        <f t="shared" si="154"/>
        <v>0.92752401442995447</v>
      </c>
      <c r="AP416" s="323">
        <f t="shared" si="155"/>
        <v>0.94802857760389969</v>
      </c>
      <c r="AQ416" s="323">
        <f t="shared" si="156"/>
        <v>0.25232642543094463</v>
      </c>
      <c r="AR416" s="323">
        <f>Modelling_new[[#This Row],[Target E_Grid MTD
MWh]]/Modelling_new[[#This Row],[MTD DC Capcity]]/(24*CG416)</f>
        <v>0.22676063315427328</v>
      </c>
      <c r="AS416" s="323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627</v>
      </c>
      <c r="BI416" s="3" t="s">
        <v>627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323">
        <f>BM416/Modelling[[#This Row],[Comisined DC ]]/BP416</f>
        <v>0.75891985169387688</v>
      </c>
      <c r="BT416" s="337">
        <f>BN416/BQ416/Modelling[[#This Row],[Comisined DC ]]</f>
        <v>0.75891985169387699</v>
      </c>
      <c r="BU416" s="337">
        <f>BO416/BR416/Modelling[[#This Row],[Comisined DC ]]</f>
        <v>0.76565925947132119</v>
      </c>
      <c r="BV416" s="323">
        <f>BM416/(24*Modelling[[#This Row],[Comisined DC ]])</f>
        <v>0.2064588413747859</v>
      </c>
      <c r="BW416" s="323">
        <f>Modelling[[#This Row],[Target E_Grid MTD
MWh]]/Modelling[[#This Row],[MTD DC Capcity]]/(24*CG416)</f>
        <v>0.2064588413747859</v>
      </c>
      <c r="BX416" s="338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3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627</v>
      </c>
      <c r="F417" s="3" t="s">
        <v>627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323">
        <f t="shared" si="145"/>
        <v>0.67587898543107972</v>
      </c>
      <c r="Q417" s="337">
        <f t="shared" si="146"/>
        <v>0.67587898543107972</v>
      </c>
      <c r="R417" s="337">
        <f t="shared" si="147"/>
        <v>0.66979503514645067</v>
      </c>
      <c r="S417" s="323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338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627</v>
      </c>
      <c r="AD417" s="3" t="s">
        <v>627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323">
        <f t="shared" si="153"/>
        <v>0.92752401442995447</v>
      </c>
      <c r="AO417" s="323">
        <f t="shared" si="154"/>
        <v>0.92752401442995447</v>
      </c>
      <c r="AP417" s="323">
        <f t="shared" si="155"/>
        <v>0.9474330911724923</v>
      </c>
      <c r="AQ417" s="323">
        <f t="shared" si="156"/>
        <v>0.25232642543094463</v>
      </c>
      <c r="AR417" s="323">
        <f>Modelling_new[[#This Row],[Target E_Grid MTD
MWh]]/Modelling_new[[#This Row],[MTD DC Capcity]]/(24*CG417)</f>
        <v>0.22676063315427331</v>
      </c>
      <c r="AS417" s="323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627</v>
      </c>
      <c r="BI417" s="3" t="s">
        <v>627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323">
        <f>BM417/Modelling[[#This Row],[Comisined DC ]]/BP417</f>
        <v>0.75891985169387688</v>
      </c>
      <c r="BT417" s="337">
        <f>BN417/BQ417/Modelling[[#This Row],[Comisined DC ]]</f>
        <v>0.75891985169387699</v>
      </c>
      <c r="BU417" s="337">
        <f>BO417/BR417/Modelling[[#This Row],[Comisined DC ]]</f>
        <v>0.76546353592173144</v>
      </c>
      <c r="BV417" s="323">
        <f>BM417/(24*Modelling[[#This Row],[Comisined DC ]])</f>
        <v>0.2064588413747859</v>
      </c>
      <c r="BW417" s="323">
        <f>Modelling[[#This Row],[Target E_Grid MTD
MWh]]/Modelling[[#This Row],[MTD DC Capcity]]/(24*CG417)</f>
        <v>0.20645884137478587</v>
      </c>
      <c r="BX417" s="338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3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627</v>
      </c>
      <c r="F418" s="3" t="s">
        <v>627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323">
        <f t="shared" si="145"/>
        <v>0.67587898543107972</v>
      </c>
      <c r="Q418" s="337">
        <f t="shared" si="146"/>
        <v>0.6758789854310796</v>
      </c>
      <c r="R418" s="337">
        <f t="shared" si="147"/>
        <v>0.66996673663112083</v>
      </c>
      <c r="S418" s="323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338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627</v>
      </c>
      <c r="AD418" s="3" t="s">
        <v>627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323">
        <f t="shared" si="153"/>
        <v>0.92752401442995447</v>
      </c>
      <c r="AO418" s="323">
        <f t="shared" si="154"/>
        <v>0.92752401442995425</v>
      </c>
      <c r="AP418" s="323">
        <f t="shared" si="155"/>
        <v>0.94687121642414951</v>
      </c>
      <c r="AQ418" s="323">
        <f t="shared" si="156"/>
        <v>0.25232642543094463</v>
      </c>
      <c r="AR418" s="323">
        <f>Modelling_new[[#This Row],[Target E_Grid MTD
MWh]]/Modelling_new[[#This Row],[MTD DC Capcity]]/(24*CG418)</f>
        <v>0.22676063315427333</v>
      </c>
      <c r="AS418" s="323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627</v>
      </c>
      <c r="BI418" s="3" t="s">
        <v>627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323">
        <f>BM418/Modelling[[#This Row],[Comisined DC ]]/BP418</f>
        <v>0.75891985169387688</v>
      </c>
      <c r="BT418" s="337">
        <f>BN418/BQ418/Modelling[[#This Row],[Comisined DC ]]</f>
        <v>0.75891985169387688</v>
      </c>
      <c r="BU418" s="337">
        <f>BO418/BR418/Modelling[[#This Row],[Comisined DC ]]</f>
        <v>0.7652788598075998</v>
      </c>
      <c r="BV418" s="323">
        <f>BM418/(24*Modelling[[#This Row],[Comisined DC ]])</f>
        <v>0.2064588413747859</v>
      </c>
      <c r="BW418" s="323">
        <f>Modelling[[#This Row],[Target E_Grid MTD
MWh]]/Modelling[[#This Row],[MTD DC Capcity]]/(24*CG418)</f>
        <v>0.2064588413747859</v>
      </c>
      <c r="BX418" s="338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3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627</v>
      </c>
      <c r="F419" s="3" t="s">
        <v>627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323">
        <f t="shared" si="145"/>
        <v>0.67587898543107972</v>
      </c>
      <c r="Q419" s="337">
        <f t="shared" si="146"/>
        <v>0.6758789854310796</v>
      </c>
      <c r="R419" s="337">
        <f t="shared" si="147"/>
        <v>0.67012901259118529</v>
      </c>
      <c r="S419" s="323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338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627</v>
      </c>
      <c r="AD419" s="3" t="s">
        <v>627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323">
        <f t="shared" si="153"/>
        <v>0.92752401442995447</v>
      </c>
      <c r="AO419" s="323">
        <f t="shared" si="154"/>
        <v>0.92752401442995425</v>
      </c>
      <c r="AP419" s="323">
        <f t="shared" si="155"/>
        <v>0.94634018569719625</v>
      </c>
      <c r="AQ419" s="323">
        <f t="shared" si="156"/>
        <v>0.25232642543094463</v>
      </c>
      <c r="AR419" s="323">
        <f>Modelling_new[[#This Row],[Target E_Grid MTD
MWh]]/Modelling_new[[#This Row],[MTD DC Capcity]]/(24*CG419)</f>
        <v>0.22676063315427339</v>
      </c>
      <c r="AS419" s="323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627</v>
      </c>
      <c r="BI419" s="3" t="s">
        <v>627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323">
        <f>BM419/Modelling[[#This Row],[Comisined DC ]]/BP419</f>
        <v>0.75891985169387688</v>
      </c>
      <c r="BT419" s="337">
        <f>BN419/BQ419/Modelling[[#This Row],[Comisined DC ]]</f>
        <v>0.75891985169387688</v>
      </c>
      <c r="BU419" s="337">
        <f>BO419/BR419/Modelling[[#This Row],[Comisined DC ]]</f>
        <v>0.76510432145821228</v>
      </c>
      <c r="BV419" s="323">
        <f>BM419/(24*Modelling[[#This Row],[Comisined DC ]])</f>
        <v>0.2064588413747859</v>
      </c>
      <c r="BW419" s="323">
        <f>Modelling[[#This Row],[Target E_Grid MTD
MWh]]/Modelling[[#This Row],[MTD DC Capcity]]/(24*CG419)</f>
        <v>0.2064588413747859</v>
      </c>
      <c r="BX419" s="338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3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627</v>
      </c>
      <c r="F420" s="3" t="s">
        <v>627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323">
        <f t="shared" si="145"/>
        <v>0.67587898543107972</v>
      </c>
      <c r="Q420" s="337">
        <f t="shared" si="146"/>
        <v>0.6758789854310796</v>
      </c>
      <c r="R420" s="337">
        <f t="shared" si="147"/>
        <v>0.67028261841218373</v>
      </c>
      <c r="S420" s="323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338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627</v>
      </c>
      <c r="AD420" s="3" t="s">
        <v>627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323">
        <f t="shared" si="153"/>
        <v>0.92752401442995447</v>
      </c>
      <c r="AO420" s="323">
        <f t="shared" si="154"/>
        <v>0.92752401442995425</v>
      </c>
      <c r="AP420" s="323">
        <f t="shared" si="155"/>
        <v>0.94583752707322877</v>
      </c>
      <c r="AQ420" s="323">
        <f t="shared" si="156"/>
        <v>0.25232642543094463</v>
      </c>
      <c r="AR420" s="323">
        <f>Modelling_new[[#This Row],[Target E_Grid MTD
MWh]]/Modelling_new[[#This Row],[MTD DC Capcity]]/(24*CG420)</f>
        <v>0.22676063315427336</v>
      </c>
      <c r="AS420" s="323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627</v>
      </c>
      <c r="BI420" s="3" t="s">
        <v>627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323">
        <f>BM420/Modelling[[#This Row],[Comisined DC ]]/BP420</f>
        <v>0.75891985169387688</v>
      </c>
      <c r="BT420" s="337">
        <f>BN420/BQ420/Modelling[[#This Row],[Comisined DC ]]</f>
        <v>0.75891985169387688</v>
      </c>
      <c r="BU420" s="337">
        <f>BO420/BR420/Modelling[[#This Row],[Comisined DC ]]</f>
        <v>0.76493910840729162</v>
      </c>
      <c r="BV420" s="323">
        <f>BM420/(24*Modelling[[#This Row],[Comisined DC ]])</f>
        <v>0.2064588413747859</v>
      </c>
      <c r="BW420" s="323">
        <f>Modelling[[#This Row],[Target E_Grid MTD
MWh]]/Modelling[[#This Row],[MTD DC Capcity]]/(24*CG420)</f>
        <v>0.2064588413747859</v>
      </c>
      <c r="BX420" s="338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3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627</v>
      </c>
      <c r="F421" s="3" t="s">
        <v>627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323">
        <f t="shared" si="145"/>
        <v>0.67587898543107972</v>
      </c>
      <c r="Q421" s="337">
        <f t="shared" si="146"/>
        <v>0.6758789854310796</v>
      </c>
      <c r="R421" s="337">
        <f t="shared" si="147"/>
        <v>0.67042823086183922</v>
      </c>
      <c r="S421" s="323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338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627</v>
      </c>
      <c r="AD421" s="3" t="s">
        <v>627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323">
        <f t="shared" si="153"/>
        <v>0.92752401442995447</v>
      </c>
      <c r="AO421" s="323">
        <f t="shared" si="154"/>
        <v>0.92752401442995425</v>
      </c>
      <c r="AP421" s="323">
        <f t="shared" si="155"/>
        <v>0.94536102590224047</v>
      </c>
      <c r="AQ421" s="323">
        <f t="shared" si="156"/>
        <v>0.25232642543094463</v>
      </c>
      <c r="AR421" s="323">
        <f>Modelling_new[[#This Row],[Target E_Grid MTD
MWh]]/Modelling_new[[#This Row],[MTD DC Capcity]]/(24*CG421)</f>
        <v>0.22676063315427333</v>
      </c>
      <c r="AS421" s="323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627</v>
      </c>
      <c r="BI421" s="3" t="s">
        <v>627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323">
        <f>BM421/Modelling[[#This Row],[Comisined DC ]]/BP421</f>
        <v>0.75891985169387688</v>
      </c>
      <c r="BT421" s="337">
        <f>BN421/BQ421/Modelling[[#This Row],[Comisined DC ]]</f>
        <v>0.75891985169387688</v>
      </c>
      <c r="BU421" s="337">
        <f>BO421/BR421/Modelling[[#This Row],[Comisined DC ]]</f>
        <v>0.7647824927471345</v>
      </c>
      <c r="BV421" s="323">
        <f>BM421/(24*Modelling[[#This Row],[Comisined DC ]])</f>
        <v>0.2064588413747859</v>
      </c>
      <c r="BW421" s="323">
        <f>Modelling[[#This Row],[Target E_Grid MTD
MWh]]/Modelling[[#This Row],[MTD DC Capcity]]/(24*CG421)</f>
        <v>0.20645884137478587</v>
      </c>
      <c r="BX421" s="338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3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627</v>
      </c>
      <c r="F422" s="3" t="s">
        <v>627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323">
        <f t="shared" si="145"/>
        <v>0.67587898543107972</v>
      </c>
      <c r="Q422" s="337">
        <f t="shared" si="146"/>
        <v>0.6758789854310796</v>
      </c>
      <c r="R422" s="337">
        <f t="shared" si="147"/>
        <v>0.67056645805851312</v>
      </c>
      <c r="S422" s="323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338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627</v>
      </c>
      <c r="AD422" s="3" t="s">
        <v>627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323">
        <f t="shared" si="153"/>
        <v>0.92752401442995447</v>
      </c>
      <c r="AO422" s="323">
        <f t="shared" si="154"/>
        <v>0.92752401442995425</v>
      </c>
      <c r="AP422" s="323">
        <f t="shared" si="155"/>
        <v>0.94490869218192031</v>
      </c>
      <c r="AQ422" s="323">
        <f t="shared" si="156"/>
        <v>0.25232642543094463</v>
      </c>
      <c r="AR422" s="323">
        <f>Modelling_new[[#This Row],[Target E_Grid MTD
MWh]]/Modelling_new[[#This Row],[MTD DC Capcity]]/(24*CG422)</f>
        <v>0.22676063315427336</v>
      </c>
      <c r="AS422" s="323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627</v>
      </c>
      <c r="BI422" s="3" t="s">
        <v>627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323">
        <f>BM422/Modelling[[#This Row],[Comisined DC ]]/BP422</f>
        <v>0.75891985169387688</v>
      </c>
      <c r="BT422" s="337">
        <f>BN422/BQ422/Modelling[[#This Row],[Comisined DC ]]</f>
        <v>0.75891985169387688</v>
      </c>
      <c r="BU422" s="337">
        <f>BO422/BR422/Modelling[[#This Row],[Comisined DC ]]</f>
        <v>0.76463382040689187</v>
      </c>
      <c r="BV422" s="323">
        <f>BM422/(24*Modelling[[#This Row],[Comisined DC ]])</f>
        <v>0.2064588413747859</v>
      </c>
      <c r="BW422" s="323">
        <f>Modelling[[#This Row],[Target E_Grid MTD
MWh]]/Modelling[[#This Row],[MTD DC Capcity]]/(24*CG422)</f>
        <v>0.2064588413747859</v>
      </c>
      <c r="BX422" s="338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3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627</v>
      </c>
      <c r="F423" s="3" t="s">
        <v>627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323">
        <f t="shared" si="145"/>
        <v>0.67587898543107972</v>
      </c>
      <c r="Q423" s="337">
        <f t="shared" si="146"/>
        <v>0.6758789854310796</v>
      </c>
      <c r="R423" s="337">
        <f t="shared" si="147"/>
        <v>0.67069784796041676</v>
      </c>
      <c r="S423" s="323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338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627</v>
      </c>
      <c r="AD423" s="3" t="s">
        <v>627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323">
        <f t="shared" si="153"/>
        <v>0.92752401442995447</v>
      </c>
      <c r="AO423" s="323">
        <f t="shared" si="154"/>
        <v>0.92752401442995425</v>
      </c>
      <c r="AP423" s="323">
        <f t="shared" si="155"/>
        <v>0.94447873277761707</v>
      </c>
      <c r="AQ423" s="323">
        <f t="shared" si="156"/>
        <v>0.25232642543094463</v>
      </c>
      <c r="AR423" s="323">
        <f>Modelling_new[[#This Row],[Target E_Grid MTD
MWh]]/Modelling_new[[#This Row],[MTD DC Capcity]]/(24*CG423)</f>
        <v>0.22676063315427336</v>
      </c>
      <c r="AS423" s="323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627</v>
      </c>
      <c r="BI423" s="3" t="s">
        <v>627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323">
        <f>BM423/Modelling[[#This Row],[Comisined DC ]]/BP423</f>
        <v>0.75891985169387688</v>
      </c>
      <c r="BT423" s="337">
        <f>BN423/BQ423/Modelling[[#This Row],[Comisined DC ]]</f>
        <v>0.75891985169387688</v>
      </c>
      <c r="BU423" s="337">
        <f>BO423/BR423/Modelling[[#This Row],[Comisined DC ]]</f>
        <v>0.76449250202186858</v>
      </c>
      <c r="BV423" s="323">
        <f>BM423/(24*Modelling[[#This Row],[Comisined DC ]])</f>
        <v>0.2064588413747859</v>
      </c>
      <c r="BW423" s="323">
        <f>Modelling[[#This Row],[Target E_Grid MTD
MWh]]/Modelling[[#This Row],[MTD DC Capcity]]/(24*CG423)</f>
        <v>0.2064588413747859</v>
      </c>
      <c r="BX423" s="338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3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627</v>
      </c>
      <c r="F424" s="3" t="s">
        <v>627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323">
        <f t="shared" si="145"/>
        <v>0.67587898543107972</v>
      </c>
      <c r="Q424" s="337">
        <f t="shared" si="146"/>
        <v>0.6758789854310796</v>
      </c>
      <c r="R424" s="337">
        <f t="shared" si="147"/>
        <v>0.67082289562548902</v>
      </c>
      <c r="S424" s="323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338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627</v>
      </c>
      <c r="AD424" s="3" t="s">
        <v>627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323">
        <f t="shared" si="153"/>
        <v>0.92752401442995447</v>
      </c>
      <c r="AO424" s="323">
        <f t="shared" si="154"/>
        <v>0.92752401442995425</v>
      </c>
      <c r="AP424" s="323">
        <f t="shared" si="155"/>
        <v>0.94406952766516106</v>
      </c>
      <c r="AQ424" s="323">
        <f t="shared" si="156"/>
        <v>0.25232642543094463</v>
      </c>
      <c r="AR424" s="323">
        <f>Modelling_new[[#This Row],[Target E_Grid MTD
MWh]]/Modelling_new[[#This Row],[MTD DC Capcity]]/(24*CG424)</f>
        <v>0.22676063315427336</v>
      </c>
      <c r="AS424" s="323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627</v>
      </c>
      <c r="BI424" s="3" t="s">
        <v>627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323">
        <f>BM424/Modelling[[#This Row],[Comisined DC ]]/BP424</f>
        <v>0.75891985169387688</v>
      </c>
      <c r="BT424" s="337">
        <f>BN424/BQ424/Modelling[[#This Row],[Comisined DC ]]</f>
        <v>0.75891985169387688</v>
      </c>
      <c r="BU424" s="337">
        <f>BO424/BR424/Modelling[[#This Row],[Comisined DC ]]</f>
        <v>0.76435800512505303</v>
      </c>
      <c r="BV424" s="323">
        <f>BM424/(24*Modelling[[#This Row],[Comisined DC ]])</f>
        <v>0.2064588413747859</v>
      </c>
      <c r="BW424" s="323">
        <f>Modelling[[#This Row],[Target E_Grid MTD
MWh]]/Modelling[[#This Row],[MTD DC Capcity]]/(24*CG424)</f>
        <v>0.20645884137478587</v>
      </c>
      <c r="BX424" s="338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3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627</v>
      </c>
      <c r="F425" s="3" t="s">
        <v>627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323">
        <f t="shared" si="145"/>
        <v>0.67587898543107972</v>
      </c>
      <c r="Q425" s="337">
        <f t="shared" si="146"/>
        <v>0.6758789854310796</v>
      </c>
      <c r="R425" s="337">
        <f t="shared" si="147"/>
        <v>0.67094204944474178</v>
      </c>
      <c r="S425" s="323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338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627</v>
      </c>
      <c r="AD425" s="3" t="s">
        <v>627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323">
        <f t="shared" si="153"/>
        <v>0.92752401442995447</v>
      </c>
      <c r="AO425" s="323">
        <f t="shared" si="154"/>
        <v>0.92752401442995425</v>
      </c>
      <c r="AP425" s="323">
        <f t="shared" si="155"/>
        <v>0.94367960953291374</v>
      </c>
      <c r="AQ425" s="323">
        <f t="shared" si="156"/>
        <v>0.25232642543094463</v>
      </c>
      <c r="AR425" s="323">
        <f>Modelling_new[[#This Row],[Target E_Grid MTD
MWh]]/Modelling_new[[#This Row],[MTD DC Capcity]]/(24*CG425)</f>
        <v>0.22676063315427339</v>
      </c>
      <c r="AS425" s="323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627</v>
      </c>
      <c r="BI425" s="3" t="s">
        <v>627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323">
        <f>BM425/Modelling[[#This Row],[Comisined DC ]]/BP425</f>
        <v>0.75891985169387688</v>
      </c>
      <c r="BT425" s="337">
        <f>BN425/BQ425/Modelling[[#This Row],[Comisined DC ]]</f>
        <v>0.75891985169387688</v>
      </c>
      <c r="BU425" s="337">
        <f>BO425/BR425/Modelling[[#This Row],[Comisined DC ]]</f>
        <v>0.76422984744274891</v>
      </c>
      <c r="BV425" s="323">
        <f>BM425/(24*Modelling[[#This Row],[Comisined DC ]])</f>
        <v>0.2064588413747859</v>
      </c>
      <c r="BW425" s="323">
        <f>Modelling[[#This Row],[Target E_Grid MTD
MWh]]/Modelling[[#This Row],[MTD DC Capcity]]/(24*CG425)</f>
        <v>0.2064588413747859</v>
      </c>
      <c r="BX425" s="338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3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627</v>
      </c>
      <c r="F426" s="3" t="s">
        <v>627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323">
        <f t="shared" si="145"/>
        <v>0.67587898543107972</v>
      </c>
      <c r="Q426" s="337">
        <f t="shared" si="146"/>
        <v>0.6758789854310796</v>
      </c>
      <c r="R426" s="337">
        <f t="shared" si="147"/>
        <v>0.67105571651451124</v>
      </c>
      <c r="S426" s="323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338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627</v>
      </c>
      <c r="AD426" s="3" t="s">
        <v>627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323">
        <f t="shared" si="153"/>
        <v>0.92752401442995447</v>
      </c>
      <c r="AO426" s="323">
        <f t="shared" si="154"/>
        <v>0.92752401442995425</v>
      </c>
      <c r="AP426" s="323">
        <f t="shared" si="155"/>
        <v>0.94330764620164642</v>
      </c>
      <c r="AQ426" s="323">
        <f t="shared" si="156"/>
        <v>0.25232642543094463</v>
      </c>
      <c r="AR426" s="323">
        <f>Modelling_new[[#This Row],[Target E_Grid MTD
MWh]]/Modelling_new[[#This Row],[MTD DC Capcity]]/(24*CG426)</f>
        <v>0.22676063315427333</v>
      </c>
      <c r="AS426" s="323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627</v>
      </c>
      <c r="BI426" s="3" t="s">
        <v>627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323">
        <f>BM426/Modelling[[#This Row],[Comisined DC ]]/BP426</f>
        <v>0.75891985169387688</v>
      </c>
      <c r="BT426" s="337">
        <f>BN426/BQ426/Modelling[[#This Row],[Comisined DC ]]</f>
        <v>0.75891985169387688</v>
      </c>
      <c r="BU426" s="337">
        <f>BO426/BR426/Modelling[[#This Row],[Comisined DC ]]</f>
        <v>0.76410759111636917</v>
      </c>
      <c r="BV426" s="323">
        <f>BM426/(24*Modelling[[#This Row],[Comisined DC ]])</f>
        <v>0.2064588413747859</v>
      </c>
      <c r="BW426" s="323">
        <f>Modelling[[#This Row],[Target E_Grid MTD
MWh]]/Modelling[[#This Row],[MTD DC Capcity]]/(24*CG426)</f>
        <v>0.2064588413747859</v>
      </c>
      <c r="BX426" s="338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3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627</v>
      </c>
      <c r="F427" s="3" t="s">
        <v>627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323">
        <f t="shared" si="145"/>
        <v>0.67587898543107972</v>
      </c>
      <c r="Q427" s="337">
        <f t="shared" si="146"/>
        <v>0.6758789854310796</v>
      </c>
      <c r="R427" s="337">
        <f t="shared" si="147"/>
        <v>0.67116426728327405</v>
      </c>
      <c r="S427" s="323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338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627</v>
      </c>
      <c r="AD427" s="3" t="s">
        <v>627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323">
        <f t="shared" si="153"/>
        <v>0.92752401442995447</v>
      </c>
      <c r="AO427" s="323">
        <f t="shared" si="154"/>
        <v>0.92752401442995425</v>
      </c>
      <c r="AP427" s="323">
        <f t="shared" si="155"/>
        <v>0.94295242541833102</v>
      </c>
      <c r="AQ427" s="323">
        <f t="shared" si="156"/>
        <v>0.25232642543094463</v>
      </c>
      <c r="AR427" s="323">
        <f>Modelling_new[[#This Row],[Target E_Grid MTD
MWh]]/Modelling_new[[#This Row],[MTD DC Capcity]]/(24*CG427)</f>
        <v>0.22676063315427336</v>
      </c>
      <c r="AS427" s="323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627</v>
      </c>
      <c r="BI427" s="3" t="s">
        <v>627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323">
        <f>BM427/Modelling[[#This Row],[Comisined DC ]]/BP427</f>
        <v>0.75891985169387688</v>
      </c>
      <c r="BT427" s="337">
        <f>BN427/BQ427/Modelling[[#This Row],[Comisined DC ]]</f>
        <v>0.75891985169387688</v>
      </c>
      <c r="BU427" s="337">
        <f>BO427/BR427/Modelling[[#This Row],[Comisined DC ]]</f>
        <v>0.76399083770448351</v>
      </c>
      <c r="BV427" s="323">
        <f>BM427/(24*Modelling[[#This Row],[Comisined DC ]])</f>
        <v>0.2064588413747859</v>
      </c>
      <c r="BW427" s="323">
        <f>Modelling[[#This Row],[Target E_Grid MTD
MWh]]/Modelling[[#This Row],[MTD DC Capcity]]/(24*CG427)</f>
        <v>0.20645884137478593</v>
      </c>
      <c r="BX427" s="338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3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627</v>
      </c>
      <c r="F428" s="3" t="s">
        <v>627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323">
        <f t="shared" si="145"/>
        <v>0.67587898543107972</v>
      </c>
      <c r="Q428" s="337">
        <f t="shared" si="146"/>
        <v>0.6758789854310796</v>
      </c>
      <c r="R428" s="337">
        <f t="shared" si="147"/>
        <v>0.6712680395847973</v>
      </c>
      <c r="S428" s="323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338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627</v>
      </c>
      <c r="AD428" s="3" t="s">
        <v>627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323">
        <f t="shared" si="153"/>
        <v>0.92752401442995447</v>
      </c>
      <c r="AO428" s="323">
        <f t="shared" si="154"/>
        <v>0.92752401442995425</v>
      </c>
      <c r="AP428" s="323">
        <f t="shared" si="155"/>
        <v>0.94261284165809012</v>
      </c>
      <c r="AQ428" s="323">
        <f t="shared" si="156"/>
        <v>0.25232642543094463</v>
      </c>
      <c r="AR428" s="323">
        <f>Modelling_new[[#This Row],[Target E_Grid MTD
MWh]]/Modelling_new[[#This Row],[MTD DC Capcity]]/(24*CG428)</f>
        <v>0.22676063315427328</v>
      </c>
      <c r="AS428" s="323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627</v>
      </c>
      <c r="BI428" s="3" t="s">
        <v>627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323">
        <f>BM428/Modelling[[#This Row],[Comisined DC ]]/BP428</f>
        <v>0.75891985169387688</v>
      </c>
      <c r="BT428" s="337">
        <f>BN428/BQ428/Modelling[[#This Row],[Comisined DC ]]</f>
        <v>0.75891985169387688</v>
      </c>
      <c r="BU428" s="337">
        <f>BO428/BR428/Modelling[[#This Row],[Comisined DC ]]</f>
        <v>0.76387922384490281</v>
      </c>
      <c r="BV428" s="323">
        <f>BM428/(24*Modelling[[#This Row],[Comisined DC ]])</f>
        <v>0.2064588413747859</v>
      </c>
      <c r="BW428" s="323">
        <f>Modelling[[#This Row],[Target E_Grid MTD
MWh]]/Modelling[[#This Row],[MTD DC Capcity]]/(24*CG428)</f>
        <v>0.20645884137478596</v>
      </c>
      <c r="BX428" s="338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3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627</v>
      </c>
      <c r="F429" s="3" t="s">
        <v>627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323">
        <f t="shared" si="145"/>
        <v>0.67587898543107972</v>
      </c>
      <c r="Q429" s="337">
        <f t="shared" si="146"/>
        <v>0.6758789854310796</v>
      </c>
      <c r="R429" s="337">
        <f t="shared" si="147"/>
        <v>0.67136734215013372</v>
      </c>
      <c r="S429" s="323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338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627</v>
      </c>
      <c r="AD429" s="3" t="s">
        <v>627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323">
        <f t="shared" si="153"/>
        <v>0.92752401442995447</v>
      </c>
      <c r="AO429" s="323">
        <f t="shared" si="154"/>
        <v>0.92752401442995425</v>
      </c>
      <c r="AP429" s="323">
        <f t="shared" si="155"/>
        <v>0.94228788463156621</v>
      </c>
      <c r="AQ429" s="323">
        <f t="shared" si="156"/>
        <v>0.25232642543094463</v>
      </c>
      <c r="AR429" s="323">
        <f>Modelling_new[[#This Row],[Target E_Grid MTD
MWh]]/Modelling_new[[#This Row],[MTD DC Capcity]]/(24*CG429)</f>
        <v>0.22676063315427331</v>
      </c>
      <c r="AS429" s="323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627</v>
      </c>
      <c r="BI429" s="3" t="s">
        <v>627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323">
        <f>BM429/Modelling[[#This Row],[Comisined DC ]]/BP429</f>
        <v>0.75891985169387688</v>
      </c>
      <c r="BT429" s="337">
        <f>BN429/BQ429/Modelling[[#This Row],[Comisined DC ]]</f>
        <v>0.75891985169387688</v>
      </c>
      <c r="BU429" s="337">
        <f>BO429/BR429/Modelling[[#This Row],[Comisined DC ]]</f>
        <v>0.76377241747730007</v>
      </c>
      <c r="BV429" s="323">
        <f>BM429/(24*Modelling[[#This Row],[Comisined DC ]])</f>
        <v>0.2064588413747859</v>
      </c>
      <c r="BW429" s="323">
        <f>Modelling[[#This Row],[Target E_Grid MTD
MWh]]/Modelling[[#This Row],[MTD DC Capcity]]/(24*CG429)</f>
        <v>0.20645884137478596</v>
      </c>
      <c r="BX429" s="338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3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627</v>
      </c>
      <c r="F430" s="3" t="s">
        <v>627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323">
        <f t="shared" si="145"/>
        <v>0.67587898543107972</v>
      </c>
      <c r="Q430" s="337">
        <f t="shared" si="146"/>
        <v>0.6758789854310796</v>
      </c>
      <c r="R430" s="337">
        <f t="shared" si="147"/>
        <v>0.67146245767537349</v>
      </c>
      <c r="S430" s="323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338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627</v>
      </c>
      <c r="AD430" s="3" t="s">
        <v>627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323">
        <f t="shared" si="153"/>
        <v>0.92752401442995447</v>
      </c>
      <c r="AO430" s="323">
        <f t="shared" si="154"/>
        <v>0.92752401442995425</v>
      </c>
      <c r="AP430" s="323">
        <f t="shared" si="155"/>
        <v>0.94197662924603354</v>
      </c>
      <c r="AQ430" s="323">
        <f t="shared" si="156"/>
        <v>0.25232642543094463</v>
      </c>
      <c r="AR430" s="323">
        <f>Modelling_new[[#This Row],[Target E_Grid MTD
MWh]]/Modelling_new[[#This Row],[MTD DC Capcity]]/(24*CG430)</f>
        <v>0.22676063315427331</v>
      </c>
      <c r="AS430" s="323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627</v>
      </c>
      <c r="BI430" s="3" t="s">
        <v>627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323">
        <f>BM430/Modelling[[#This Row],[Comisined DC ]]/BP430</f>
        <v>0.75891985169387688</v>
      </c>
      <c r="BT430" s="337">
        <f>BN430/BQ430/Modelling[[#This Row],[Comisined DC ]]</f>
        <v>0.75891985169387688</v>
      </c>
      <c r="BU430" s="337">
        <f>BO430/BR430/Modelling[[#This Row],[Comisined DC ]]</f>
        <v>0.76367011454364409</v>
      </c>
      <c r="BV430" s="323">
        <f>BM430/(24*Modelling[[#This Row],[Comisined DC ]])</f>
        <v>0.2064588413747859</v>
      </c>
      <c r="BW430" s="323">
        <f>Modelling[[#This Row],[Target E_Grid MTD
MWh]]/Modelling[[#This Row],[MTD DC Capcity]]/(24*CG430)</f>
        <v>0.20645884137478593</v>
      </c>
      <c r="BX430" s="338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3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627</v>
      </c>
      <c r="F431" s="3" t="s">
        <v>627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323">
        <f t="shared" si="145"/>
        <v>0.67587898543107972</v>
      </c>
      <c r="Q431" s="337">
        <f t="shared" si="146"/>
        <v>0.6758789854310796</v>
      </c>
      <c r="R431" s="337">
        <f t="shared" si="147"/>
        <v>0.67155364550935692</v>
      </c>
      <c r="S431" s="323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338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627</v>
      </c>
      <c r="AD431" s="3" t="s">
        <v>627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323">
        <f t="shared" si="153"/>
        <v>0.92752401442995447</v>
      </c>
      <c r="AO431" s="323">
        <f t="shared" si="154"/>
        <v>0.92752401442995425</v>
      </c>
      <c r="AP431" s="323">
        <f t="shared" si="155"/>
        <v>0.94167822681014479</v>
      </c>
      <c r="AQ431" s="323">
        <f t="shared" si="156"/>
        <v>0.25232642543094463</v>
      </c>
      <c r="AR431" s="323">
        <f>Modelling_new[[#This Row],[Target E_Grid MTD
MWh]]/Modelling_new[[#This Row],[MTD DC Capcity]]/(24*CG431)</f>
        <v>0.22676063315427328</v>
      </c>
      <c r="AS431" s="323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627</v>
      </c>
      <c r="BI431" s="3" t="s">
        <v>627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323">
        <f>BM431/Modelling[[#This Row],[Comisined DC ]]/BP431</f>
        <v>0.75891985169387688</v>
      </c>
      <c r="BT431" s="337">
        <f>BN431/BQ431/Modelling[[#This Row],[Comisined DC ]]</f>
        <v>0.75891985169387688</v>
      </c>
      <c r="BU431" s="337">
        <f>BO431/BR431/Modelling[[#This Row],[Comisined DC ]]</f>
        <v>0.76357203609738922</v>
      </c>
      <c r="BV431" s="323">
        <f>BM431/(24*Modelling[[#This Row],[Comisined DC ]])</f>
        <v>0.2064588413747859</v>
      </c>
      <c r="BW431" s="323">
        <f>Modelling[[#This Row],[Target E_Grid MTD
MWh]]/Modelling[[#This Row],[MTD DC Capcity]]/(24*CG431)</f>
        <v>0.20645884137478598</v>
      </c>
      <c r="BX431" s="338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3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627</v>
      </c>
      <c r="F432" s="3" t="s">
        <v>627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323">
        <f t="shared" si="145"/>
        <v>0.67587898543107972</v>
      </c>
      <c r="Q432" s="337">
        <f t="shared" si="146"/>
        <v>0.6758789854310796</v>
      </c>
      <c r="R432" s="337">
        <f t="shared" si="147"/>
        <v>0.67164114401516462</v>
      </c>
      <c r="S432" s="323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338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627</v>
      </c>
      <c r="AD432" s="3" t="s">
        <v>627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323">
        <f t="shared" si="153"/>
        <v>0.92752401442995447</v>
      </c>
      <c r="AO432" s="323">
        <f t="shared" si="154"/>
        <v>0.92752401442995425</v>
      </c>
      <c r="AP432" s="323">
        <f t="shared" si="155"/>
        <v>0.94139189730620676</v>
      </c>
      <c r="AQ432" s="323">
        <f t="shared" si="156"/>
        <v>0.25232642543094463</v>
      </c>
      <c r="AR432" s="323">
        <f>Modelling_new[[#This Row],[Target E_Grid MTD
MWh]]/Modelling_new[[#This Row],[MTD DC Capcity]]/(24*CG432)</f>
        <v>0.22676063315427325</v>
      </c>
      <c r="AS432" s="323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627</v>
      </c>
      <c r="BI432" s="3" t="s">
        <v>627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323">
        <f>BM432/Modelling[[#This Row],[Comisined DC ]]/BP432</f>
        <v>0.75891985169387688</v>
      </c>
      <c r="BT432" s="337">
        <f>BN432/BQ432/Modelling[[#This Row],[Comisined DC ]]</f>
        <v>0.75891985169387688</v>
      </c>
      <c r="BU432" s="337">
        <f>BO432/BR432/Modelling[[#This Row],[Comisined DC ]]</f>
        <v>0.76347792576353912</v>
      </c>
      <c r="BV432" s="323">
        <f>BM432/(24*Modelling[[#This Row],[Comisined DC ]])</f>
        <v>0.2064588413747859</v>
      </c>
      <c r="BW432" s="323">
        <f>Modelling[[#This Row],[Target E_Grid MTD
MWh]]/Modelling[[#This Row],[MTD DC Capcity]]/(24*CG432)</f>
        <v>0.20645884137478598</v>
      </c>
      <c r="BX432" s="338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3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627</v>
      </c>
      <c r="F433" s="3" t="s">
        <v>627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323">
        <f t="shared" si="145"/>
        <v>0.67587898543107972</v>
      </c>
      <c r="Q433" s="337">
        <f t="shared" si="146"/>
        <v>0.6758789854310796</v>
      </c>
      <c r="R433" s="337">
        <f t="shared" si="147"/>
        <v>0.67172517265066356</v>
      </c>
      <c r="S433" s="323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338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627</v>
      </c>
      <c r="AD433" s="3" t="s">
        <v>627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323">
        <f t="shared" si="153"/>
        <v>0.92752401442995447</v>
      </c>
      <c r="AO433" s="323">
        <f t="shared" si="154"/>
        <v>0.92752401442995425</v>
      </c>
      <c r="AP433" s="323">
        <f t="shared" si="155"/>
        <v>0.94111692258181701</v>
      </c>
      <c r="AQ433" s="323">
        <f t="shared" si="156"/>
        <v>0.25232642543094463</v>
      </c>
      <c r="AR433" s="323">
        <f>Modelling_new[[#This Row],[Target E_Grid MTD
MWh]]/Modelling_new[[#This Row],[MTD DC Capcity]]/(24*CG433)</f>
        <v>0.22676063315427328</v>
      </c>
      <c r="AS433" s="323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627</v>
      </c>
      <c r="BI433" s="3" t="s">
        <v>627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323">
        <f>BM433/Modelling[[#This Row],[Comisined DC ]]/BP433</f>
        <v>0.75891985169387688</v>
      </c>
      <c r="BT433" s="337">
        <f>BN433/BQ433/Modelling[[#This Row],[Comisined DC ]]</f>
        <v>0.75891985169387688</v>
      </c>
      <c r="BU433" s="337">
        <f>BO433/BR433/Modelling[[#This Row],[Comisined DC ]]</f>
        <v>0.76338754750088456</v>
      </c>
      <c r="BV433" s="323">
        <f>BM433/(24*Modelling[[#This Row],[Comisined DC ]])</f>
        <v>0.2064588413747859</v>
      </c>
      <c r="BW433" s="323">
        <f>Modelling[[#This Row],[Target E_Grid MTD
MWh]]/Modelling[[#This Row],[MTD DC Capcity]]/(24*CG433)</f>
        <v>0.20645884137478598</v>
      </c>
      <c r="BX433" s="338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3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627</v>
      </c>
      <c r="F434" s="3" t="s">
        <v>627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323">
        <f t="shared" si="145"/>
        <v>0.67587898543107972</v>
      </c>
      <c r="Q434" s="337">
        <f t="shared" si="146"/>
        <v>0.6758789854310796</v>
      </c>
      <c r="R434" s="337">
        <f t="shared" si="147"/>
        <v>0.67180593380634479</v>
      </c>
      <c r="S434" s="323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338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627</v>
      </c>
      <c r="AD434" s="3" t="s">
        <v>627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323">
        <f t="shared" si="153"/>
        <v>0.92752401442995447</v>
      </c>
      <c r="AO434" s="323">
        <f t="shared" si="154"/>
        <v>0.92752401442995425</v>
      </c>
      <c r="AP434" s="323">
        <f t="shared" si="155"/>
        <v>0.94085264033573512</v>
      </c>
      <c r="AQ434" s="323">
        <f t="shared" si="156"/>
        <v>0.25232642543094463</v>
      </c>
      <c r="AR434" s="323">
        <f>Modelling_new[[#This Row],[Target E_Grid MTD
MWh]]/Modelling_new[[#This Row],[MTD DC Capcity]]/(24*CG434)</f>
        <v>0.22676063315427328</v>
      </c>
      <c r="AS434" s="323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627</v>
      </c>
      <c r="BI434" s="3" t="s">
        <v>627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323">
        <f>BM434/Modelling[[#This Row],[Comisined DC ]]/BP434</f>
        <v>0.75891985169387688</v>
      </c>
      <c r="BT434" s="337">
        <f>BN434/BQ434/Modelling[[#This Row],[Comisined DC ]]</f>
        <v>0.75891985169387688</v>
      </c>
      <c r="BU434" s="337">
        <f>BO434/BR434/Modelling[[#This Row],[Comisined DC ]]</f>
        <v>0.76330068362528902</v>
      </c>
      <c r="BV434" s="323">
        <f>BM434/(24*Modelling[[#This Row],[Comisined DC ]])</f>
        <v>0.2064588413747859</v>
      </c>
      <c r="BW434" s="323">
        <f>Modelling[[#This Row],[Target E_Grid MTD
MWh]]/Modelling[[#This Row],[MTD DC Capcity]]/(24*CG434)</f>
        <v>0.20645884137478598</v>
      </c>
      <c r="BX434" s="338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3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627</v>
      </c>
      <c r="F435" s="3" t="s">
        <v>627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323">
        <f t="shared" si="145"/>
        <v>0.67587898543107972</v>
      </c>
      <c r="Q435" s="337">
        <f t="shared" si="146"/>
        <v>0.6758789854310796</v>
      </c>
      <c r="R435" s="337">
        <f t="shared" si="147"/>
        <v>0.67188361443285582</v>
      </c>
      <c r="S435" s="323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338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627</v>
      </c>
      <c r="AD435" s="3" t="s">
        <v>627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323">
        <f t="shared" si="153"/>
        <v>0.92752401442995447</v>
      </c>
      <c r="AO435" s="323">
        <f t="shared" si="154"/>
        <v>0.92752401442995425</v>
      </c>
      <c r="AP435" s="323">
        <f t="shared" si="155"/>
        <v>0.94059843879195848</v>
      </c>
      <c r="AQ435" s="323">
        <f t="shared" si="156"/>
        <v>0.25232642543094463</v>
      </c>
      <c r="AR435" s="323">
        <f>Modelling_new[[#This Row],[Target E_Grid MTD
MWh]]/Modelling_new[[#This Row],[MTD DC Capcity]]/(24*CG435)</f>
        <v>0.22676063315427325</v>
      </c>
      <c r="AS435" s="323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627</v>
      </c>
      <c r="BI435" s="3" t="s">
        <v>627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323">
        <f>BM435/Modelling[[#This Row],[Comisined DC ]]/BP435</f>
        <v>0.75891985169387688</v>
      </c>
      <c r="BT435" s="337">
        <f>BN435/BQ435/Modelling[[#This Row],[Comisined DC ]]</f>
        <v>0.75891985169387688</v>
      </c>
      <c r="BU435" s="337">
        <f>BO435/BR435/Modelling[[#This Row],[Comisined DC ]]</f>
        <v>0.76321713305917194</v>
      </c>
      <c r="BV435" s="323">
        <f>BM435/(24*Modelling[[#This Row],[Comisined DC ]])</f>
        <v>0.2064588413747859</v>
      </c>
      <c r="BW435" s="323">
        <f>Modelling[[#This Row],[Target E_Grid MTD
MWh]]/Modelling[[#This Row],[MTD DC Capcity]]/(24*CG435)</f>
        <v>0.20645884137478601</v>
      </c>
      <c r="BX435" s="338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3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627</v>
      </c>
      <c r="F436" s="3" t="s">
        <v>627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323">
        <f t="shared" si="145"/>
        <v>0.67587898543107972</v>
      </c>
      <c r="Q436" s="337">
        <f t="shared" si="146"/>
        <v>0.6758789854310796</v>
      </c>
      <c r="R436" s="337">
        <f t="shared" si="147"/>
        <v>0.67195838748577741</v>
      </c>
      <c r="S436" s="323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338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627</v>
      </c>
      <c r="AD436" s="3" t="s">
        <v>627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323">
        <f t="shared" si="153"/>
        <v>0.92752401442995447</v>
      </c>
      <c r="AO436" s="323">
        <f t="shared" si="154"/>
        <v>0.92752401442995425</v>
      </c>
      <c r="AP436" s="323">
        <f t="shared" si="155"/>
        <v>0.9403537519718429</v>
      </c>
      <c r="AQ436" s="323">
        <f t="shared" si="156"/>
        <v>0.25232642543094463</v>
      </c>
      <c r="AR436" s="323">
        <f>Modelling_new[[#This Row],[Target E_Grid MTD
MWh]]/Modelling_new[[#This Row],[MTD DC Capcity]]/(24*CG436)</f>
        <v>0.22676063315427328</v>
      </c>
      <c r="AS436" s="323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627</v>
      </c>
      <c r="BI436" s="3" t="s">
        <v>627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323">
        <f>BM436/Modelling[[#This Row],[Comisined DC ]]/BP436</f>
        <v>0.75891985169387688</v>
      </c>
      <c r="BT436" s="337">
        <f>BN436/BQ436/Modelling[[#This Row],[Comisined DC ]]</f>
        <v>0.75891985169387688</v>
      </c>
      <c r="BU436" s="337">
        <f>BO436/BR436/Modelling[[#This Row],[Comisined DC ]]</f>
        <v>0.76313670977755721</v>
      </c>
      <c r="BV436" s="323">
        <f>BM436/(24*Modelling[[#This Row],[Comisined DC ]])</f>
        <v>0.2064588413747859</v>
      </c>
      <c r="BW436" s="323">
        <f>Modelling[[#This Row],[Target E_Grid MTD
MWh]]/Modelling[[#This Row],[MTD DC Capcity]]/(24*CG436)</f>
        <v>0.20645884137478601</v>
      </c>
      <c r="BX436" s="338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3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627</v>
      </c>
      <c r="F437" s="3" t="s">
        <v>627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323">
        <f t="shared" si="145"/>
        <v>0.67587898543107972</v>
      </c>
      <c r="Q437" s="337">
        <f t="shared" si="146"/>
        <v>0.6758789854310796</v>
      </c>
      <c r="R437" s="337">
        <f t="shared" si="147"/>
        <v>0.67203041321114831</v>
      </c>
      <c r="S437" s="323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338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627</v>
      </c>
      <c r="AD437" s="3" t="s">
        <v>627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323">
        <f t="shared" si="153"/>
        <v>0.92752401442995447</v>
      </c>
      <c r="AO437" s="323">
        <f t="shared" si="154"/>
        <v>0.92752401442995425</v>
      </c>
      <c r="AP437" s="323">
        <f t="shared" si="155"/>
        <v>0.94011805548736127</v>
      </c>
      <c r="AQ437" s="323">
        <f t="shared" si="156"/>
        <v>0.25232642543094463</v>
      </c>
      <c r="AR437" s="323">
        <f>Modelling_new[[#This Row],[Target E_Grid MTD
MWh]]/Modelling_new[[#This Row],[MTD DC Capcity]]/(24*CG437)</f>
        <v>0.22676063315427328</v>
      </c>
      <c r="AS437" s="323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627</v>
      </c>
      <c r="BI437" s="3" t="s">
        <v>627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323">
        <f>BM437/Modelling[[#This Row],[Comisined DC ]]/BP437</f>
        <v>0.75891985169387688</v>
      </c>
      <c r="BT437" s="337">
        <f>BN437/BQ437/Modelling[[#This Row],[Comisined DC ]]</f>
        <v>0.75891985169387688</v>
      </c>
      <c r="BU437" s="337">
        <f>BO437/BR437/Modelling[[#This Row],[Comisined DC ]]</f>
        <v>0.76305924142540771</v>
      </c>
      <c r="BV437" s="323">
        <f>BM437/(24*Modelling[[#This Row],[Comisined DC ]])</f>
        <v>0.2064588413747859</v>
      </c>
      <c r="BW437" s="323">
        <f>Modelling[[#This Row],[Target E_Grid MTD
MWh]]/Modelling[[#This Row],[MTD DC Capcity]]/(24*CG437)</f>
        <v>0.20645884137478601</v>
      </c>
      <c r="BX437" s="338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3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627</v>
      </c>
      <c r="F438" s="3" t="s">
        <v>627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323">
        <f t="shared" si="145"/>
        <v>0.67587898543107972</v>
      </c>
      <c r="Q438" s="337">
        <f t="shared" si="146"/>
        <v>0.6758789854310796</v>
      </c>
      <c r="R438" s="337">
        <f t="shared" si="147"/>
        <v>0.67209984029184711</v>
      </c>
      <c r="S438" s="323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338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627</v>
      </c>
      <c r="AD438" s="3" t="s">
        <v>627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323">
        <f t="shared" si="153"/>
        <v>0.92752401442995447</v>
      </c>
      <c r="AO438" s="323">
        <f t="shared" si="154"/>
        <v>0.92752401442995425</v>
      </c>
      <c r="AP438" s="323">
        <f t="shared" si="155"/>
        <v>0.93989086278969391</v>
      </c>
      <c r="AQ438" s="323">
        <f t="shared" si="156"/>
        <v>0.25232642543094463</v>
      </c>
      <c r="AR438" s="323">
        <f>Modelling_new[[#This Row],[Target E_Grid MTD
MWh]]/Modelling_new[[#This Row],[MTD DC Capcity]]/(24*CG438)</f>
        <v>0.22676063315427328</v>
      </c>
      <c r="AS438" s="323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627</v>
      </c>
      <c r="BI438" s="3" t="s">
        <v>627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323">
        <f>BM438/Modelling[[#This Row],[Comisined DC ]]/BP438</f>
        <v>0.75891985169387688</v>
      </c>
      <c r="BT438" s="337">
        <f>BN438/BQ438/Modelling[[#This Row],[Comisined DC ]]</f>
        <v>0.75891985169387688</v>
      </c>
      <c r="BU438" s="337">
        <f>BO438/BR438/Modelling[[#This Row],[Comisined DC ]]</f>
        <v>0.76298456808461768</v>
      </c>
      <c r="BV438" s="323">
        <f>BM438/(24*Modelling[[#This Row],[Comisined DC ]])</f>
        <v>0.2064588413747859</v>
      </c>
      <c r="BW438" s="323">
        <f>Modelling[[#This Row],[Target E_Grid MTD
MWh]]/Modelling[[#This Row],[MTD DC Capcity]]/(24*CG438)</f>
        <v>0.20645884137478601</v>
      </c>
      <c r="BX438" s="338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3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627</v>
      </c>
      <c r="F439" s="3" t="s">
        <v>627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323">
        <f t="shared" si="145"/>
        <v>0.67587898543107972</v>
      </c>
      <c r="Q439" s="337">
        <f t="shared" si="146"/>
        <v>0.6758789854310796</v>
      </c>
      <c r="R439" s="337">
        <f t="shared" si="147"/>
        <v>0.67216680687208907</v>
      </c>
      <c r="S439" s="323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338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627</v>
      </c>
      <c r="AD439" s="3" t="s">
        <v>627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323">
        <f t="shared" si="153"/>
        <v>0.92752401442995447</v>
      </c>
      <c r="AO439" s="323">
        <f t="shared" si="154"/>
        <v>0.92752401442995425</v>
      </c>
      <c r="AP439" s="323">
        <f t="shared" si="155"/>
        <v>0.93967172181666692</v>
      </c>
      <c r="AQ439" s="323">
        <f t="shared" si="156"/>
        <v>0.25232642543094463</v>
      </c>
      <c r="AR439" s="323">
        <f>Modelling_new[[#This Row],[Target E_Grid MTD
MWh]]/Modelling_new[[#This Row],[MTD DC Capcity]]/(24*CG439)</f>
        <v>0.22676063315427328</v>
      </c>
      <c r="AS439" s="323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627</v>
      </c>
      <c r="BI439" s="3" t="s">
        <v>627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323">
        <f>BM439/Modelling[[#This Row],[Comisined DC ]]/BP439</f>
        <v>0.75891985169387688</v>
      </c>
      <c r="BT439" s="337">
        <f>BN439/BQ439/Modelling[[#This Row],[Comisined DC ]]</f>
        <v>0.75891985169387688</v>
      </c>
      <c r="BU439" s="337">
        <f>BO439/BR439/Modelling[[#This Row],[Comisined DC ]]</f>
        <v>0.7629125411720985</v>
      </c>
      <c r="BV439" s="323">
        <f>BM439/(24*Modelling[[#This Row],[Comisined DC ]])</f>
        <v>0.2064588413747859</v>
      </c>
      <c r="BW439" s="323">
        <f>Modelling[[#This Row],[Target E_Grid MTD
MWh]]/Modelling[[#This Row],[MTD DC Capcity]]/(24*CG439)</f>
        <v>0.20645884137478601</v>
      </c>
      <c r="BX439" s="338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3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627</v>
      </c>
      <c r="F440" s="3" t="s">
        <v>627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323">
        <f t="shared" si="145"/>
        <v>0.67587898543107972</v>
      </c>
      <c r="Q440" s="337">
        <f t="shared" si="146"/>
        <v>0.6758789854310796</v>
      </c>
      <c r="R440" s="337">
        <f t="shared" si="147"/>
        <v>0.672231441474897</v>
      </c>
      <c r="S440" s="323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338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627</v>
      </c>
      <c r="AD440" s="3" t="s">
        <v>627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323">
        <f t="shared" si="153"/>
        <v>0.92752401442995447</v>
      </c>
      <c r="AO440" s="323">
        <f t="shared" si="154"/>
        <v>0.92752401442995425</v>
      </c>
      <c r="AP440" s="323">
        <f t="shared" si="155"/>
        <v>0.93946021199043184</v>
      </c>
      <c r="AQ440" s="323">
        <f t="shared" si="156"/>
        <v>0.25232642543094463</v>
      </c>
      <c r="AR440" s="323">
        <f>Modelling_new[[#This Row],[Target E_Grid MTD
MWh]]/Modelling_new[[#This Row],[MTD DC Capcity]]/(24*CG440)</f>
        <v>0.22676063315427328</v>
      </c>
      <c r="AS440" s="323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627</v>
      </c>
      <c r="BI440" s="3" t="s">
        <v>627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323">
        <f>BM440/Modelling[[#This Row],[Comisined DC ]]/BP440</f>
        <v>0.75891985169387688</v>
      </c>
      <c r="BT440" s="337">
        <f>BN440/BQ440/Modelling[[#This Row],[Comisined DC ]]</f>
        <v>0.75891985169387688</v>
      </c>
      <c r="BU440" s="337">
        <f>BO440/BR440/Modelling[[#This Row],[Comisined DC ]]</f>
        <v>0.76284302245298019</v>
      </c>
      <c r="BV440" s="323">
        <f>BM440/(24*Modelling[[#This Row],[Comisined DC ]])</f>
        <v>0.2064588413747859</v>
      </c>
      <c r="BW440" s="323">
        <f>Modelling[[#This Row],[Target E_Grid MTD
MWh]]/Modelling[[#This Row],[MTD DC Capcity]]/(24*CG440)</f>
        <v>0.20645884137478601</v>
      </c>
      <c r="BX440" s="338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3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627</v>
      </c>
      <c r="F441" s="3" t="s">
        <v>627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323">
        <f t="shared" si="145"/>
        <v>0.67587898543107972</v>
      </c>
      <c r="Q441" s="337">
        <f t="shared" si="146"/>
        <v>0.6758789854310796</v>
      </c>
      <c r="R441" s="337">
        <f t="shared" si="147"/>
        <v>0.67229386382536349</v>
      </c>
      <c r="S441" s="323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338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627</v>
      </c>
      <c r="AD441" s="3" t="s">
        <v>627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323">
        <f t="shared" si="153"/>
        <v>0.92752401442995447</v>
      </c>
      <c r="AO441" s="323">
        <f t="shared" si="154"/>
        <v>0.92752401442995425</v>
      </c>
      <c r="AP441" s="323">
        <f t="shared" si="155"/>
        <v>0.9392559415234254</v>
      </c>
      <c r="AQ441" s="323">
        <f t="shared" si="156"/>
        <v>0.25232642543094463</v>
      </c>
      <c r="AR441" s="323">
        <f>Modelling_new[[#This Row],[Target E_Grid MTD
MWh]]/Modelling_new[[#This Row],[MTD DC Capcity]]/(24*CG441)</f>
        <v>0.22676063315427322</v>
      </c>
      <c r="AS441" s="323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627</v>
      </c>
      <c r="BI441" s="3" t="s">
        <v>627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323">
        <f>BM441/Modelling[[#This Row],[Comisined DC ]]/BP441</f>
        <v>0.75891985169387688</v>
      </c>
      <c r="BT441" s="337">
        <f>BN441/BQ441/Modelling[[#This Row],[Comisined DC ]]</f>
        <v>0.75891985169387688</v>
      </c>
      <c r="BU441" s="337">
        <f>BO441/BR441/Modelling[[#This Row],[Comisined DC ]]</f>
        <v>0.76277588315513878</v>
      </c>
      <c r="BV441" s="323">
        <f>BM441/(24*Modelling[[#This Row],[Comisined DC ]])</f>
        <v>0.2064588413747859</v>
      </c>
      <c r="BW441" s="323">
        <f>Modelling[[#This Row],[Target E_Grid MTD
MWh]]/Modelling[[#This Row],[MTD DC Capcity]]/(24*CG441)</f>
        <v>0.20645884137478601</v>
      </c>
      <c r="BX441" s="338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3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627</v>
      </c>
      <c r="F442" s="3" t="s">
        <v>627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323">
        <f t="shared" si="145"/>
        <v>0.67587898543107972</v>
      </c>
      <c r="Q442" s="337">
        <f t="shared" si="146"/>
        <v>0.6758789854310796</v>
      </c>
      <c r="R442" s="337">
        <f t="shared" si="147"/>
        <v>0.67235418559080273</v>
      </c>
      <c r="S442" s="323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338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627</v>
      </c>
      <c r="AD442" s="3" t="s">
        <v>627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323">
        <f t="shared" si="153"/>
        <v>0.92752401442995447</v>
      </c>
      <c r="AO442" s="323">
        <f t="shared" si="154"/>
        <v>0.92752401442995425</v>
      </c>
      <c r="AP442" s="323">
        <f t="shared" si="155"/>
        <v>0.93905854499630259</v>
      </c>
      <c r="AQ442" s="323">
        <f t="shared" si="156"/>
        <v>0.25232642543094463</v>
      </c>
      <c r="AR442" s="323">
        <f>Modelling_new[[#This Row],[Target E_Grid MTD
MWh]]/Modelling_new[[#This Row],[MTD DC Capcity]]/(24*CG442)</f>
        <v>0.22676063315427322</v>
      </c>
      <c r="AS442" s="323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627</v>
      </c>
      <c r="BI442" s="3" t="s">
        <v>627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323">
        <f>BM442/Modelling[[#This Row],[Comisined DC ]]/BP442</f>
        <v>0.75891985169387688</v>
      </c>
      <c r="BT442" s="337">
        <f>BN442/BQ442/Modelling[[#This Row],[Comisined DC ]]</f>
        <v>0.75891985169387688</v>
      </c>
      <c r="BU442" s="337">
        <f>BO442/BR442/Modelling[[#This Row],[Comisined DC ]]</f>
        <v>0.76271100317311502</v>
      </c>
      <c r="BV442" s="323">
        <f>BM442/(24*Modelling[[#This Row],[Comisined DC ]])</f>
        <v>0.2064588413747859</v>
      </c>
      <c r="BW442" s="323">
        <f>Modelling[[#This Row],[Target E_Grid MTD
MWh]]/Modelling[[#This Row],[MTD DC Capcity]]/(24*CG442)</f>
        <v>0.20645884137478604</v>
      </c>
      <c r="BX442" s="338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3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627</v>
      </c>
      <c r="F443" s="3" t="s">
        <v>627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323">
        <f t="shared" si="145"/>
        <v>0.67587898543107972</v>
      </c>
      <c r="Q443" s="337">
        <f t="shared" si="146"/>
        <v>0.6758789854310796</v>
      </c>
      <c r="R443" s="337">
        <f t="shared" si="147"/>
        <v>0.67241251104741739</v>
      </c>
      <c r="S443" s="323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338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627</v>
      </c>
      <c r="AD443" s="3" t="s">
        <v>627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323">
        <f t="shared" si="153"/>
        <v>0.92752401442995447</v>
      </c>
      <c r="AO443" s="323">
        <f t="shared" si="154"/>
        <v>0.92752401442995425</v>
      </c>
      <c r="AP443" s="323">
        <f t="shared" si="155"/>
        <v>0.93886768117634056</v>
      </c>
      <c r="AQ443" s="323">
        <f t="shared" si="156"/>
        <v>0.25232642543094463</v>
      </c>
      <c r="AR443" s="323">
        <f>Modelling_new[[#This Row],[Target E_Grid MTD
MWh]]/Modelling_new[[#This Row],[MTD DC Capcity]]/(24*CG443)</f>
        <v>0.22676063315427322</v>
      </c>
      <c r="AS443" s="323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627</v>
      </c>
      <c r="BI443" s="3" t="s">
        <v>627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323">
        <f>BM443/Modelling[[#This Row],[Comisined DC ]]/BP443</f>
        <v>0.75891985169387688</v>
      </c>
      <c r="BT443" s="337">
        <f>BN443/BQ443/Modelling[[#This Row],[Comisined DC ]]</f>
        <v>0.75891985169387688</v>
      </c>
      <c r="BU443" s="337">
        <f>BO443/BR443/Modelling[[#This Row],[Comisined DC ]]</f>
        <v>0.76264827035107086</v>
      </c>
      <c r="BV443" s="323">
        <f>BM443/(24*Modelling[[#This Row],[Comisined DC ]])</f>
        <v>0.2064588413747859</v>
      </c>
      <c r="BW443" s="323">
        <f>Modelling[[#This Row],[Target E_Grid MTD
MWh]]/Modelling[[#This Row],[MTD DC Capcity]]/(24*CG443)</f>
        <v>0.20645884137478604</v>
      </c>
      <c r="BX443" s="338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3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627</v>
      </c>
      <c r="F444" s="3" t="s">
        <v>627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323">
        <f t="shared" si="145"/>
        <v>0.67587898543107972</v>
      </c>
      <c r="Q444" s="337">
        <f t="shared" si="146"/>
        <v>0.6758789854310796</v>
      </c>
      <c r="R444" s="337">
        <f t="shared" si="147"/>
        <v>0.67246893768185445</v>
      </c>
      <c r="S444" s="323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338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627</v>
      </c>
      <c r="AD444" s="3" t="s">
        <v>627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323">
        <f t="shared" si="153"/>
        <v>0.92752401442995447</v>
      </c>
      <c r="AO444" s="323">
        <f t="shared" si="154"/>
        <v>0.92752401442995414</v>
      </c>
      <c r="AP444" s="323">
        <f t="shared" si="155"/>
        <v>0.93868303104891126</v>
      </c>
      <c r="AQ444" s="323">
        <f t="shared" si="156"/>
        <v>0.25232642543094463</v>
      </c>
      <c r="AR444" s="323">
        <f>Modelling_new[[#This Row],[Target E_Grid MTD
MWh]]/Modelling_new[[#This Row],[MTD DC Capcity]]/(24*CG444)</f>
        <v>0.22676063315427319</v>
      </c>
      <c r="AS444" s="323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627</v>
      </c>
      <c r="BI444" s="3" t="s">
        <v>627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323">
        <f>BM444/Modelling[[#This Row],[Comisined DC ]]/BP444</f>
        <v>0.75891985169387688</v>
      </c>
      <c r="BT444" s="337">
        <f>BN444/BQ444/Modelling[[#This Row],[Comisined DC ]]</f>
        <v>0.75891985169387677</v>
      </c>
      <c r="BU444" s="337">
        <f>BO444/BR444/Modelling[[#This Row],[Comisined DC ]]</f>
        <v>0.76258757983577707</v>
      </c>
      <c r="BV444" s="323">
        <f>BM444/(24*Modelling[[#This Row],[Comisined DC ]])</f>
        <v>0.2064588413747859</v>
      </c>
      <c r="BW444" s="323">
        <f>Modelling[[#This Row],[Target E_Grid MTD
MWh]]/Modelling[[#This Row],[MTD DC Capcity]]/(24*CG444)</f>
        <v>0.20645884137478601</v>
      </c>
      <c r="BX444" s="338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3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627</v>
      </c>
      <c r="F445" s="3" t="s">
        <v>627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323">
        <f t="shared" si="145"/>
        <v>0.69925423684408983</v>
      </c>
      <c r="Q445" s="337">
        <f t="shared" si="146"/>
        <v>0.69925423684408983</v>
      </c>
      <c r="R445" s="337">
        <f t="shared" si="147"/>
        <v>0.67280675681921209</v>
      </c>
      <c r="S445" s="323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338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627</v>
      </c>
      <c r="AD445" s="3" t="s">
        <v>627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323">
        <f t="shared" si="153"/>
        <v>0.88166304126662065</v>
      </c>
      <c r="AO445" s="323">
        <f t="shared" si="154"/>
        <v>0.88166304126662054</v>
      </c>
      <c r="AP445" s="323">
        <f t="shared" si="155"/>
        <v>0.93796388866996216</v>
      </c>
      <c r="AQ445" s="323">
        <f t="shared" si="156"/>
        <v>0.18821056867038832</v>
      </c>
      <c r="AR445" s="323">
        <f>Modelling_new[[#This Row],[Target E_Grid MTD
MWh]]/Modelling_new[[#This Row],[MTD DC Capcity]]/(24*CG445)</f>
        <v>0.16914101503690185</v>
      </c>
      <c r="AS445" s="323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627</v>
      </c>
      <c r="BI445" s="3" t="s">
        <v>627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323">
        <f>BM445/Modelling[[#This Row],[Comisined DC ]]/BP445</f>
        <v>0.74827694992965155</v>
      </c>
      <c r="BT445" s="337">
        <f>BN445/BQ445/Modelling[[#This Row],[Comisined DC ]]</f>
        <v>0.74827694992965155</v>
      </c>
      <c r="BU445" s="337">
        <f>BO445/BR445/Modelling[[#This Row],[Comisined DC ]]</f>
        <v>0.76240709259833184</v>
      </c>
      <c r="BV445" s="323">
        <f>BM445/(24*Modelling[[#This Row],[Comisined DC ]])</f>
        <v>0.15973634333914921</v>
      </c>
      <c r="BW445" s="323">
        <f>Modelling[[#This Row],[Target E_Grid MTD
MWh]]/Modelling[[#This Row],[MTD DC Capcity]]/(24*CG445)</f>
        <v>0.15973634333914921</v>
      </c>
      <c r="BX445" s="338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3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627</v>
      </c>
      <c r="F446" s="3" t="s">
        <v>627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323">
        <f t="shared" si="145"/>
        <v>0.69925423684408983</v>
      </c>
      <c r="Q446" s="337">
        <f t="shared" si="146"/>
        <v>0.69925423684408983</v>
      </c>
      <c r="R446" s="337">
        <f t="shared" si="147"/>
        <v>0.6731361608644475</v>
      </c>
      <c r="S446" s="323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338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627</v>
      </c>
      <c r="AD446" s="3" t="s">
        <v>627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323">
        <f t="shared" si="153"/>
        <v>0.88166304126662065</v>
      </c>
      <c r="AO446" s="323">
        <f t="shared" si="154"/>
        <v>0.88166304126662054</v>
      </c>
      <c r="AP446" s="323">
        <f t="shared" si="155"/>
        <v>0.93726266016473592</v>
      </c>
      <c r="AQ446" s="323">
        <f t="shared" si="156"/>
        <v>0.18821056867038832</v>
      </c>
      <c r="AR446" s="323">
        <f>Modelling_new[[#This Row],[Target E_Grid MTD
MWh]]/Modelling_new[[#This Row],[MTD DC Capcity]]/(24*CG446)</f>
        <v>0.16914101503690185</v>
      </c>
      <c r="AS446" s="323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627</v>
      </c>
      <c r="BI446" s="3" t="s">
        <v>627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323">
        <f>BM446/Modelling[[#This Row],[Comisined DC ]]/BP446</f>
        <v>0.74827694992965155</v>
      </c>
      <c r="BT446" s="337">
        <f>BN446/BQ446/Modelling[[#This Row],[Comisined DC ]]</f>
        <v>0.74827694992965155</v>
      </c>
      <c r="BU446" s="337">
        <f>BO446/BR446/Modelling[[#This Row],[Comisined DC ]]</f>
        <v>0.76223110130727367</v>
      </c>
      <c r="BV446" s="323">
        <f>BM446/(24*Modelling[[#This Row],[Comisined DC ]])</f>
        <v>0.15973634333914921</v>
      </c>
      <c r="BW446" s="323">
        <f>Modelling[[#This Row],[Target E_Grid MTD
MWh]]/Modelling[[#This Row],[MTD DC Capcity]]/(24*CG446)</f>
        <v>0.15973634333914921</v>
      </c>
      <c r="BX446" s="338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3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627</v>
      </c>
      <c r="F447" s="3" t="s">
        <v>627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323">
        <f t="shared" si="145"/>
        <v>0.69925423684408983</v>
      </c>
      <c r="Q447" s="337">
        <f t="shared" si="146"/>
        <v>0.69925423684408983</v>
      </c>
      <c r="R447" s="337">
        <f t="shared" si="147"/>
        <v>0.6734574603800646</v>
      </c>
      <c r="S447" s="323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338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627</v>
      </c>
      <c r="AD447" s="3" t="s">
        <v>627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323">
        <f t="shared" si="153"/>
        <v>0.88166304126662065</v>
      </c>
      <c r="AO447" s="323">
        <f t="shared" si="154"/>
        <v>0.88166304126662054</v>
      </c>
      <c r="AP447" s="323">
        <f t="shared" si="155"/>
        <v>0.93657868441421022</v>
      </c>
      <c r="AQ447" s="323">
        <f t="shared" si="156"/>
        <v>0.18821056867038832</v>
      </c>
      <c r="AR447" s="323">
        <f>Modelling_new[[#This Row],[Target E_Grid MTD
MWh]]/Modelling_new[[#This Row],[MTD DC Capcity]]/(24*CG447)</f>
        <v>0.16914101503690182</v>
      </c>
      <c r="AS447" s="323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627</v>
      </c>
      <c r="BI447" s="3" t="s">
        <v>627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323">
        <f>BM447/Modelling[[#This Row],[Comisined DC ]]/BP447</f>
        <v>0.74827694992965155</v>
      </c>
      <c r="BT447" s="337">
        <f>BN447/BQ447/Modelling[[#This Row],[Comisined DC ]]</f>
        <v>0.74827694992965144</v>
      </c>
      <c r="BU447" s="337">
        <f>BO447/BR447/Modelling[[#This Row],[Comisined DC ]]</f>
        <v>0.76205944003781501</v>
      </c>
      <c r="BV447" s="323">
        <f>BM447/(24*Modelling[[#This Row],[Comisined DC ]])</f>
        <v>0.15973634333914921</v>
      </c>
      <c r="BW447" s="323">
        <f>Modelling[[#This Row],[Target E_Grid MTD
MWh]]/Modelling[[#This Row],[MTD DC Capcity]]/(24*CG447)</f>
        <v>0.15973634333914918</v>
      </c>
      <c r="BX447" s="338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3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627</v>
      </c>
      <c r="F448" s="3" t="s">
        <v>627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323">
        <f t="shared" ref="P448:P511" si="170">J448/$Q$1/M448</f>
        <v>0.69925423684408983</v>
      </c>
      <c r="Q448" s="337">
        <f t="shared" ref="Q448:Q511" si="171">K448/N448/$Q$1</f>
        <v>0.69925423684408983</v>
      </c>
      <c r="R448" s="337">
        <f t="shared" ref="R448:R511" si="172">L448/O448/$Q$1</f>
        <v>0.67377095083235838</v>
      </c>
      <c r="S448" s="323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338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627</v>
      </c>
      <c r="AD448" s="3" t="s">
        <v>627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323">
        <f t="shared" ref="AN448:AN511" si="178">AH448/$Q$1/AK448</f>
        <v>0.88166304126662065</v>
      </c>
      <c r="AO448" s="323">
        <f t="shared" ref="AO448:AO511" si="179">AI448/AL448/$Q$1</f>
        <v>0.88166304126662054</v>
      </c>
      <c r="AP448" s="323">
        <f t="shared" ref="AP448:AP511" si="180">AJ448/AM448/$Q$1</f>
        <v>0.93591133243585944</v>
      </c>
      <c r="AQ448" s="323">
        <f t="shared" ref="AQ448:AQ511" si="181">AH448/(24*$Q$1)</f>
        <v>0.18821056867038832</v>
      </c>
      <c r="AR448" s="323">
        <f>Modelling_new[[#This Row],[Target E_Grid MTD
MWh]]/Modelling_new[[#This Row],[MTD DC Capcity]]/(24*CG448)</f>
        <v>0.16914101503690185</v>
      </c>
      <c r="AS448" s="323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627</v>
      </c>
      <c r="BI448" s="3" t="s">
        <v>627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323">
        <f>BM448/Modelling[[#This Row],[Comisined DC ]]/BP448</f>
        <v>0.74827694992965155</v>
      </c>
      <c r="BT448" s="337">
        <f>BN448/BQ448/Modelling[[#This Row],[Comisined DC ]]</f>
        <v>0.74827694992965155</v>
      </c>
      <c r="BU448" s="337">
        <f>BO448/BR448/Modelling[[#This Row],[Comisined DC ]]</f>
        <v>0.76189195093064821</v>
      </c>
      <c r="BV448" s="323">
        <f>BM448/(24*Modelling[[#This Row],[Comisined DC ]])</f>
        <v>0.15973634333914921</v>
      </c>
      <c r="BW448" s="323">
        <f>Modelling[[#This Row],[Target E_Grid MTD
MWh]]/Modelling[[#This Row],[MTD DC Capcity]]/(24*CG448)</f>
        <v>0.15973634333914921</v>
      </c>
      <c r="BX448" s="338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3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627</v>
      </c>
      <c r="F449" s="3" t="s">
        <v>627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323">
        <f t="shared" si="170"/>
        <v>0.69925423684408983</v>
      </c>
      <c r="Q449" s="337">
        <f t="shared" si="171"/>
        <v>0.69925423684408983</v>
      </c>
      <c r="R449" s="337">
        <f t="shared" si="172"/>
        <v>0.67407691349767118</v>
      </c>
      <c r="S449" s="323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338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627</v>
      </c>
      <c r="AD449" s="3" t="s">
        <v>627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323">
        <f t="shared" si="178"/>
        <v>0.88166304126662065</v>
      </c>
      <c r="AO449" s="323">
        <f t="shared" si="179"/>
        <v>0.88166304126662054</v>
      </c>
      <c r="AP449" s="323">
        <f t="shared" si="180"/>
        <v>0.93526000545443433</v>
      </c>
      <c r="AQ449" s="323">
        <f t="shared" si="181"/>
        <v>0.18821056867038832</v>
      </c>
      <c r="AR449" s="323">
        <f>Modelling_new[[#This Row],[Target E_Grid MTD
MWh]]/Modelling_new[[#This Row],[MTD DC Capcity]]/(24*CG449)</f>
        <v>0.16914101503690185</v>
      </c>
      <c r="AS449" s="323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627</v>
      </c>
      <c r="BI449" s="3" t="s">
        <v>627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323">
        <f>BM449/Modelling[[#This Row],[Comisined DC ]]/BP449</f>
        <v>0.74827694992965155</v>
      </c>
      <c r="BT449" s="337">
        <f>BN449/BQ449/Modelling[[#This Row],[Comisined DC ]]</f>
        <v>0.74827694992965144</v>
      </c>
      <c r="BU449" s="337">
        <f>BO449/BR449/Modelling[[#This Row],[Comisined DC ]]</f>
        <v>0.76172848370775592</v>
      </c>
      <c r="BV449" s="323">
        <f>BM449/(24*Modelling[[#This Row],[Comisined DC ]])</f>
        <v>0.15973634333914921</v>
      </c>
      <c r="BW449" s="323">
        <f>Modelling[[#This Row],[Target E_Grid MTD
MWh]]/Modelling[[#This Row],[MTD DC Capcity]]/(24*CG449)</f>
        <v>0.15973634333914921</v>
      </c>
      <c r="BX449" s="338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3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627</v>
      </c>
      <c r="F450" s="3" t="s">
        <v>627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323">
        <f t="shared" si="170"/>
        <v>0.69925423684408983</v>
      </c>
      <c r="Q450" s="337">
        <f t="shared" si="171"/>
        <v>0.69925423684408983</v>
      </c>
      <c r="R450" s="337">
        <f t="shared" si="172"/>
        <v>0.67437561630413845</v>
      </c>
      <c r="S450" s="323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338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627</v>
      </c>
      <c r="AD450" s="3" t="s">
        <v>627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323">
        <f t="shared" si="178"/>
        <v>0.88166304126662065</v>
      </c>
      <c r="AO450" s="323">
        <f t="shared" si="179"/>
        <v>0.88166304126662054</v>
      </c>
      <c r="AP450" s="323">
        <f t="shared" si="180"/>
        <v>0.9346241331100732</v>
      </c>
      <c r="AQ450" s="323">
        <f t="shared" si="181"/>
        <v>0.18821056867038832</v>
      </c>
      <c r="AR450" s="323">
        <f>Modelling_new[[#This Row],[Target E_Grid MTD
MWh]]/Modelling_new[[#This Row],[MTD DC Capcity]]/(24*CG450)</f>
        <v>0.16914101503690185</v>
      </c>
      <c r="AS450" s="323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627</v>
      </c>
      <c r="BI450" s="3" t="s">
        <v>627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323">
        <f>BM450/Modelling[[#This Row],[Comisined DC ]]/BP450</f>
        <v>0.74827694992965155</v>
      </c>
      <c r="BT450" s="337">
        <f>BN450/BQ450/Modelling[[#This Row],[Comisined DC ]]</f>
        <v>0.74827694992965144</v>
      </c>
      <c r="BU450" s="337">
        <f>BO450/BR450/Modelling[[#This Row],[Comisined DC ]]</f>
        <v>0.76156889522269255</v>
      </c>
      <c r="BV450" s="323">
        <f>BM450/(24*Modelling[[#This Row],[Comisined DC ]])</f>
        <v>0.15973634333914921</v>
      </c>
      <c r="BW450" s="323">
        <f>Modelling[[#This Row],[Target E_Grid MTD
MWh]]/Modelling[[#This Row],[MTD DC Capcity]]/(24*CG450)</f>
        <v>0.15973634333914918</v>
      </c>
      <c r="BX450" s="338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3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627</v>
      </c>
      <c r="F451" s="3" t="s">
        <v>627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323">
        <f t="shared" si="170"/>
        <v>0.69925423684408983</v>
      </c>
      <c r="Q451" s="337">
        <f t="shared" si="171"/>
        <v>0.69925423684408972</v>
      </c>
      <c r="R451" s="337">
        <f t="shared" si="172"/>
        <v>0.67466731461421714</v>
      </c>
      <c r="S451" s="323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338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627</v>
      </c>
      <c r="AD451" s="3" t="s">
        <v>627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323">
        <f t="shared" si="178"/>
        <v>0.88166304126662065</v>
      </c>
      <c r="AO451" s="323">
        <f t="shared" si="179"/>
        <v>0.88166304126662043</v>
      </c>
      <c r="AP451" s="323">
        <f t="shared" si="180"/>
        <v>0.93400317179246928</v>
      </c>
      <c r="AQ451" s="323">
        <f t="shared" si="181"/>
        <v>0.18821056867038832</v>
      </c>
      <c r="AR451" s="323">
        <f>Modelling_new[[#This Row],[Target E_Grid MTD
MWh]]/Modelling_new[[#This Row],[MTD DC Capcity]]/(24*CG451)</f>
        <v>0.16914101503690185</v>
      </c>
      <c r="AS451" s="323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627</v>
      </c>
      <c r="BI451" s="3" t="s">
        <v>627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323">
        <f>BM451/Modelling[[#This Row],[Comisined DC ]]/BP451</f>
        <v>0.74827694992965155</v>
      </c>
      <c r="BT451" s="337">
        <f>BN451/BQ451/Modelling[[#This Row],[Comisined DC ]]</f>
        <v>0.74827694992965144</v>
      </c>
      <c r="BU451" s="337">
        <f>BO451/BR451/Modelling[[#This Row],[Comisined DC ]]</f>
        <v>0.76141304904249874</v>
      </c>
      <c r="BV451" s="323">
        <f>BM451/(24*Modelling[[#This Row],[Comisined DC ]])</f>
        <v>0.15973634333914921</v>
      </c>
      <c r="BW451" s="323">
        <f>Modelling[[#This Row],[Target E_Grid MTD
MWh]]/Modelling[[#This Row],[MTD DC Capcity]]/(24*CG451)</f>
        <v>0.15973634333914918</v>
      </c>
      <c r="BX451" s="338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3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627</v>
      </c>
      <c r="F452" s="3" t="s">
        <v>627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323">
        <f t="shared" si="170"/>
        <v>0.69925423684408983</v>
      </c>
      <c r="Q452" s="337">
        <f t="shared" si="171"/>
        <v>0.69925423684408972</v>
      </c>
      <c r="R452" s="337">
        <f t="shared" si="172"/>
        <v>0.67495225195280328</v>
      </c>
      <c r="S452" s="323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338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627</v>
      </c>
      <c r="AD452" s="3" t="s">
        <v>627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323">
        <f t="shared" si="178"/>
        <v>0.88166304126662065</v>
      </c>
      <c r="AO452" s="323">
        <f t="shared" si="179"/>
        <v>0.88166304126662043</v>
      </c>
      <c r="AP452" s="323">
        <f t="shared" si="180"/>
        <v>0.93339660309087036</v>
      </c>
      <c r="AQ452" s="323">
        <f t="shared" si="181"/>
        <v>0.18821056867038832</v>
      </c>
      <c r="AR452" s="323">
        <f>Modelling_new[[#This Row],[Target E_Grid MTD
MWh]]/Modelling_new[[#This Row],[MTD DC Capcity]]/(24*CG452)</f>
        <v>0.16914101503690185</v>
      </c>
      <c r="AS452" s="323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627</v>
      </c>
      <c r="BI452" s="3" t="s">
        <v>627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323">
        <f>BM452/Modelling[[#This Row],[Comisined DC ]]/BP452</f>
        <v>0.74827694992965155</v>
      </c>
      <c r="BT452" s="337">
        <f>BN452/BQ452/Modelling[[#This Row],[Comisined DC ]]</f>
        <v>0.74827694992965121</v>
      </c>
      <c r="BU452" s="337">
        <f>BO452/BR452/Modelling[[#This Row],[Comisined DC ]]</f>
        <v>0.76126081505869136</v>
      </c>
      <c r="BV452" s="323">
        <f>BM452/(24*Modelling[[#This Row],[Comisined DC ]])</f>
        <v>0.15973634333914921</v>
      </c>
      <c r="BW452" s="323">
        <f>Modelling[[#This Row],[Target E_Grid MTD
MWh]]/Modelling[[#This Row],[MTD DC Capcity]]/(24*CG452)</f>
        <v>0.15973634333914918</v>
      </c>
      <c r="BX452" s="338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3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627</v>
      </c>
      <c r="F453" s="3" t="s">
        <v>627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323">
        <f t="shared" si="170"/>
        <v>0.69925423684408983</v>
      </c>
      <c r="Q453" s="337">
        <f t="shared" si="171"/>
        <v>0.69925423684408972</v>
      </c>
      <c r="R453" s="337">
        <f t="shared" si="172"/>
        <v>0.67523066068529958</v>
      </c>
      <c r="S453" s="323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338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627</v>
      </c>
      <c r="AD453" s="3" t="s">
        <v>627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323">
        <f t="shared" si="178"/>
        <v>0.88166304126662065</v>
      </c>
      <c r="AO453" s="323">
        <f t="shared" si="179"/>
        <v>0.88166304126662021</v>
      </c>
      <c r="AP453" s="323">
        <f t="shared" si="180"/>
        <v>0.93280393235062242</v>
      </c>
      <c r="AQ453" s="323">
        <f t="shared" si="181"/>
        <v>0.18821056867038832</v>
      </c>
      <c r="AR453" s="323">
        <f>Modelling_new[[#This Row],[Target E_Grid MTD
MWh]]/Modelling_new[[#This Row],[MTD DC Capcity]]/(24*CG453)</f>
        <v>0.16914101503690182</v>
      </c>
      <c r="AS453" s="323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627</v>
      </c>
      <c r="BI453" s="3" t="s">
        <v>627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323">
        <f>BM453/Modelling[[#This Row],[Comisined DC ]]/BP453</f>
        <v>0.74827694992965155</v>
      </c>
      <c r="BT453" s="337">
        <f>BN453/BQ453/Modelling[[#This Row],[Comisined DC ]]</f>
        <v>0.74827694992965121</v>
      </c>
      <c r="BU453" s="337">
        <f>BO453/BR453/Modelling[[#This Row],[Comisined DC ]]</f>
        <v>0.76111206912498874</v>
      </c>
      <c r="BV453" s="323">
        <f>BM453/(24*Modelling[[#This Row],[Comisined DC ]])</f>
        <v>0.15973634333914921</v>
      </c>
      <c r="BW453" s="323">
        <f>Modelling[[#This Row],[Target E_Grid MTD
MWh]]/Modelling[[#This Row],[MTD DC Capcity]]/(24*CG453)</f>
        <v>0.15973634333914918</v>
      </c>
      <c r="BX453" s="338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3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627</v>
      </c>
      <c r="F454" s="3" t="s">
        <v>627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323">
        <f t="shared" si="170"/>
        <v>0.69925423684408983</v>
      </c>
      <c r="Q454" s="337">
        <f t="shared" si="171"/>
        <v>0.69925423684408961</v>
      </c>
      <c r="R454" s="337">
        <f t="shared" si="172"/>
        <v>0.67550276264960363</v>
      </c>
      <c r="S454" s="323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338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627</v>
      </c>
      <c r="AD454" s="3" t="s">
        <v>627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323">
        <f t="shared" si="178"/>
        <v>0.88166304126662065</v>
      </c>
      <c r="AO454" s="323">
        <f t="shared" si="179"/>
        <v>0.88166304126662021</v>
      </c>
      <c r="AP454" s="323">
        <f t="shared" si="180"/>
        <v>0.9322246873278065</v>
      </c>
      <c r="AQ454" s="323">
        <f t="shared" si="181"/>
        <v>0.18821056867038832</v>
      </c>
      <c r="AR454" s="323">
        <f>Modelling_new[[#This Row],[Target E_Grid MTD
MWh]]/Modelling_new[[#This Row],[MTD DC Capcity]]/(24*CG454)</f>
        <v>0.16914101503690182</v>
      </c>
      <c r="AS454" s="323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627</v>
      </c>
      <c r="BI454" s="3" t="s">
        <v>627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323">
        <f>BM454/Modelling[[#This Row],[Comisined DC ]]/BP454</f>
        <v>0.74827694992965155</v>
      </c>
      <c r="BT454" s="337">
        <f>BN454/BQ454/Modelling[[#This Row],[Comisined DC ]]</f>
        <v>0.74827694992965121</v>
      </c>
      <c r="BU454" s="337">
        <f>BO454/BR454/Modelling[[#This Row],[Comisined DC ]]</f>
        <v>0.76096669271965922</v>
      </c>
      <c r="BV454" s="323">
        <f>BM454/(24*Modelling[[#This Row],[Comisined DC ]])</f>
        <v>0.15973634333914921</v>
      </c>
      <c r="BW454" s="323">
        <f>Modelling[[#This Row],[Target E_Grid MTD
MWh]]/Modelling[[#This Row],[MTD DC Capcity]]/(24*CG454)</f>
        <v>0.15973634333914918</v>
      </c>
      <c r="BX454" s="338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3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627</v>
      </c>
      <c r="F455" s="3" t="s">
        <v>627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323">
        <f t="shared" si="170"/>
        <v>0.69925423684408983</v>
      </c>
      <c r="Q455" s="337">
        <f t="shared" si="171"/>
        <v>0.69925423684408961</v>
      </c>
      <c r="R455" s="337">
        <f t="shared" si="172"/>
        <v>0.67576876974562683</v>
      </c>
      <c r="S455" s="323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338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627</v>
      </c>
      <c r="AD455" s="3" t="s">
        <v>627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323">
        <f t="shared" si="178"/>
        <v>0.88166304126662065</v>
      </c>
      <c r="AO455" s="323">
        <f t="shared" si="179"/>
        <v>0.88166304126662021</v>
      </c>
      <c r="AP455" s="323">
        <f t="shared" si="180"/>
        <v>0.93165841693428264</v>
      </c>
      <c r="AQ455" s="323">
        <f t="shared" si="181"/>
        <v>0.18821056867038832</v>
      </c>
      <c r="AR455" s="323">
        <f>Modelling_new[[#This Row],[Target E_Grid MTD
MWh]]/Modelling_new[[#This Row],[MTD DC Capcity]]/(24*CG455)</f>
        <v>0.16914101503690182</v>
      </c>
      <c r="AS455" s="323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627</v>
      </c>
      <c r="BI455" s="3" t="s">
        <v>627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323">
        <f>BM455/Modelling[[#This Row],[Comisined DC ]]/BP455</f>
        <v>0.74827694992965155</v>
      </c>
      <c r="BT455" s="337">
        <f>BN455/BQ455/Modelling[[#This Row],[Comisined DC ]]</f>
        <v>0.74827694992965121</v>
      </c>
      <c r="BU455" s="337">
        <f>BO455/BR455/Modelling[[#This Row],[Comisined DC ]]</f>
        <v>0.76082457263055603</v>
      </c>
      <c r="BV455" s="323">
        <f>BM455/(24*Modelling[[#This Row],[Comisined DC ]])</f>
        <v>0.15973634333914921</v>
      </c>
      <c r="BW455" s="323">
        <f>Modelling[[#This Row],[Target E_Grid MTD
MWh]]/Modelling[[#This Row],[MTD DC Capcity]]/(24*CG455)</f>
        <v>0.15973634333914916</v>
      </c>
      <c r="BX455" s="338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3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627</v>
      </c>
      <c r="F456" s="3" t="s">
        <v>627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323">
        <f t="shared" si="170"/>
        <v>0.69925423684408983</v>
      </c>
      <c r="Q456" s="337">
        <f t="shared" si="171"/>
        <v>0.69925423684408961</v>
      </c>
      <c r="R456" s="337">
        <f t="shared" si="172"/>
        <v>0.67602888448563814</v>
      </c>
      <c r="S456" s="323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338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627</v>
      </c>
      <c r="AD456" s="3" t="s">
        <v>627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323">
        <f t="shared" si="178"/>
        <v>0.88166304126662065</v>
      </c>
      <c r="AO456" s="323">
        <f t="shared" si="179"/>
        <v>0.88166304126662021</v>
      </c>
      <c r="AP456" s="323">
        <f t="shared" si="180"/>
        <v>0.9311046900661285</v>
      </c>
      <c r="AQ456" s="323">
        <f t="shared" si="181"/>
        <v>0.18821056867038832</v>
      </c>
      <c r="AR456" s="323">
        <f>Modelling_new[[#This Row],[Target E_Grid MTD
MWh]]/Modelling_new[[#This Row],[MTD DC Capcity]]/(24*CG456)</f>
        <v>0.16914101503690182</v>
      </c>
      <c r="AS456" s="323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627</v>
      </c>
      <c r="BI456" s="3" t="s">
        <v>627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323">
        <f>BM456/Modelling[[#This Row],[Comisined DC ]]/BP456</f>
        <v>0.74827694992965155</v>
      </c>
      <c r="BT456" s="337">
        <f>BN456/BQ456/Modelling[[#This Row],[Comisined DC ]]</f>
        <v>0.7482769499296511</v>
      </c>
      <c r="BU456" s="337">
        <f>BO456/BR456/Modelling[[#This Row],[Comisined DC ]]</f>
        <v>0.76068560066108548</v>
      </c>
      <c r="BV456" s="323">
        <f>BM456/(24*Modelling[[#This Row],[Comisined DC ]])</f>
        <v>0.15973634333914921</v>
      </c>
      <c r="BW456" s="323">
        <f>Modelling[[#This Row],[Target E_Grid MTD
MWh]]/Modelling[[#This Row],[MTD DC Capcity]]/(24*CG456)</f>
        <v>0.15973634333914916</v>
      </c>
      <c r="BX456" s="338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3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627</v>
      </c>
      <c r="F457" s="3" t="s">
        <v>627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323">
        <f t="shared" si="170"/>
        <v>0.69925423684408983</v>
      </c>
      <c r="Q457" s="337">
        <f t="shared" si="171"/>
        <v>0.69925423684408961</v>
      </c>
      <c r="R457" s="337">
        <f t="shared" si="172"/>
        <v>0.6762833005084371</v>
      </c>
      <c r="S457" s="323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338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627</v>
      </c>
      <c r="AD457" s="3" t="s">
        <v>627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323">
        <f t="shared" si="178"/>
        <v>0.88166304126662065</v>
      </c>
      <c r="AO457" s="323">
        <f t="shared" si="179"/>
        <v>0.88166304126662021</v>
      </c>
      <c r="AP457" s="323">
        <f t="shared" si="180"/>
        <v>0.93056309450908126</v>
      </c>
      <c r="AQ457" s="323">
        <f t="shared" si="181"/>
        <v>0.18821056867038832</v>
      </c>
      <c r="AR457" s="323">
        <f>Modelling_new[[#This Row],[Target E_Grid MTD
MWh]]/Modelling_new[[#This Row],[MTD DC Capcity]]/(24*CG457)</f>
        <v>0.16914101503690182</v>
      </c>
      <c r="AS457" s="323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627</v>
      </c>
      <c r="BI457" s="3" t="s">
        <v>627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323">
        <f>BM457/Modelling[[#This Row],[Comisined DC ]]/BP457</f>
        <v>0.74827694992965155</v>
      </c>
      <c r="BT457" s="337">
        <f>BN457/BQ457/Modelling[[#This Row],[Comisined DC ]]</f>
        <v>0.74827694992965121</v>
      </c>
      <c r="BU457" s="337">
        <f>BO457/BR457/Modelling[[#This Row],[Comisined DC ]]</f>
        <v>0.76054967335549839</v>
      </c>
      <c r="BV457" s="323">
        <f>BM457/(24*Modelling[[#This Row],[Comisined DC ]])</f>
        <v>0.15973634333914921</v>
      </c>
      <c r="BW457" s="323">
        <f>Modelling[[#This Row],[Target E_Grid MTD
MWh]]/Modelling[[#This Row],[MTD DC Capcity]]/(24*CG457)</f>
        <v>0.15973634333914921</v>
      </c>
      <c r="BX457" s="338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3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627</v>
      </c>
      <c r="F458" s="3" t="s">
        <v>627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323">
        <f t="shared" si="170"/>
        <v>0.69925423684408983</v>
      </c>
      <c r="Q458" s="337">
        <f t="shared" si="171"/>
        <v>0.69925423684408972</v>
      </c>
      <c r="R458" s="337">
        <f t="shared" si="172"/>
        <v>0.67653220306009731</v>
      </c>
      <c r="S458" s="323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338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627</v>
      </c>
      <c r="AD458" s="3" t="s">
        <v>627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323">
        <f t="shared" si="178"/>
        <v>0.88166304126662065</v>
      </c>
      <c r="AO458" s="323">
        <f t="shared" si="179"/>
        <v>0.88166304126662021</v>
      </c>
      <c r="AP458" s="323">
        <f t="shared" si="180"/>
        <v>0.93003323591513809</v>
      </c>
      <c r="AQ458" s="323">
        <f t="shared" si="181"/>
        <v>0.18821056867038832</v>
      </c>
      <c r="AR458" s="323">
        <f>Modelling_new[[#This Row],[Target E_Grid MTD
MWh]]/Modelling_new[[#This Row],[MTD DC Capcity]]/(24*CG458)</f>
        <v>0.16914101503690179</v>
      </c>
      <c r="AS458" s="323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627</v>
      </c>
      <c r="BI458" s="3" t="s">
        <v>627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323">
        <f>BM458/Modelling[[#This Row],[Comisined DC ]]/BP458</f>
        <v>0.74827694992965155</v>
      </c>
      <c r="BT458" s="337">
        <f>BN458/BQ458/Modelling[[#This Row],[Comisined DC ]]</f>
        <v>0.74827694992965121</v>
      </c>
      <c r="BU458" s="337">
        <f>BO458/BR458/Modelling[[#This Row],[Comisined DC ]]</f>
        <v>0.76041669174204241</v>
      </c>
      <c r="BV458" s="323">
        <f>BM458/(24*Modelling[[#This Row],[Comisined DC ]])</f>
        <v>0.15973634333914921</v>
      </c>
      <c r="BW458" s="323">
        <f>Modelling[[#This Row],[Target E_Grid MTD
MWh]]/Modelling[[#This Row],[MTD DC Capcity]]/(24*CG458)</f>
        <v>0.15973634333914918</v>
      </c>
      <c r="BX458" s="338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3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627</v>
      </c>
      <c r="F459" s="3" t="s">
        <v>627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323">
        <f t="shared" si="170"/>
        <v>0.69925423684408983</v>
      </c>
      <c r="Q459" s="337">
        <f t="shared" si="171"/>
        <v>0.69925423684408972</v>
      </c>
      <c r="R459" s="337">
        <f t="shared" si="172"/>
        <v>0.67677576944379159</v>
      </c>
      <c r="S459" s="323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338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627</v>
      </c>
      <c r="AD459" s="3" t="s">
        <v>627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323">
        <f t="shared" si="178"/>
        <v>0.88166304126662065</v>
      </c>
      <c r="AO459" s="323">
        <f t="shared" si="179"/>
        <v>0.88166304126662021</v>
      </c>
      <c r="AP459" s="323">
        <f t="shared" si="180"/>
        <v>0.92951473684497887</v>
      </c>
      <c r="AQ459" s="323">
        <f t="shared" si="181"/>
        <v>0.18821056867038832</v>
      </c>
      <c r="AR459" s="323">
        <f>Modelling_new[[#This Row],[Target E_Grid MTD
MWh]]/Modelling_new[[#This Row],[MTD DC Capcity]]/(24*CG459)</f>
        <v>0.16914101503690177</v>
      </c>
      <c r="AS459" s="323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627</v>
      </c>
      <c r="BI459" s="3" t="s">
        <v>627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323">
        <f>BM459/Modelling[[#This Row],[Comisined DC ]]/BP459</f>
        <v>0.74827694992965155</v>
      </c>
      <c r="BT459" s="337">
        <f>BN459/BQ459/Modelling[[#This Row],[Comisined DC ]]</f>
        <v>0.7482769499296511</v>
      </c>
      <c r="BU459" s="337">
        <f>BO459/BR459/Modelling[[#This Row],[Comisined DC ]]</f>
        <v>0.76028656109263237</v>
      </c>
      <c r="BV459" s="323">
        <f>BM459/(24*Modelling[[#This Row],[Comisined DC ]])</f>
        <v>0.15973634333914921</v>
      </c>
      <c r="BW459" s="323">
        <f>Modelling[[#This Row],[Target E_Grid MTD
MWh]]/Modelling[[#This Row],[MTD DC Capcity]]/(24*CG459)</f>
        <v>0.15973634333914921</v>
      </c>
      <c r="BX459" s="338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3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627</v>
      </c>
      <c r="F460" s="3" t="s">
        <v>627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323">
        <f t="shared" si="170"/>
        <v>0.69925423684408983</v>
      </c>
      <c r="Q460" s="337">
        <f t="shared" si="171"/>
        <v>0.69925423684408972</v>
      </c>
      <c r="R460" s="337">
        <f t="shared" si="172"/>
        <v>0.6770141694409918</v>
      </c>
      <c r="S460" s="323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338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627</v>
      </c>
      <c r="AD460" s="3" t="s">
        <v>627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323">
        <f t="shared" si="178"/>
        <v>0.88166304126662065</v>
      </c>
      <c r="AO460" s="323">
        <f t="shared" si="179"/>
        <v>0.88166304126662021</v>
      </c>
      <c r="AP460" s="323">
        <f t="shared" si="180"/>
        <v>0.92900723587132439</v>
      </c>
      <c r="AQ460" s="323">
        <f t="shared" si="181"/>
        <v>0.18821056867038832</v>
      </c>
      <c r="AR460" s="323">
        <f>Modelling_new[[#This Row],[Target E_Grid MTD
MWh]]/Modelling_new[[#This Row],[MTD DC Capcity]]/(24*CG460)</f>
        <v>0.16914101503690179</v>
      </c>
      <c r="AS460" s="323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627</v>
      </c>
      <c r="BI460" s="3" t="s">
        <v>627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323">
        <f>BM460/Modelling[[#This Row],[Comisined DC ]]/BP460</f>
        <v>0.74827694992965155</v>
      </c>
      <c r="BT460" s="337">
        <f>BN460/BQ460/Modelling[[#This Row],[Comisined DC ]]</f>
        <v>0.74827694992965121</v>
      </c>
      <c r="BU460" s="337">
        <f>BO460/BR460/Modelling[[#This Row],[Comisined DC ]]</f>
        <v>0.76015919069781646</v>
      </c>
      <c r="BV460" s="323">
        <f>BM460/(24*Modelling[[#This Row],[Comisined DC ]])</f>
        <v>0.15973634333914921</v>
      </c>
      <c r="BW460" s="323">
        <f>Modelling[[#This Row],[Target E_Grid MTD
MWh]]/Modelling[[#This Row],[MTD DC Capcity]]/(24*CG460)</f>
        <v>0.15973634333914924</v>
      </c>
      <c r="BX460" s="338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3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627</v>
      </c>
      <c r="F461" s="3" t="s">
        <v>627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323">
        <f t="shared" si="170"/>
        <v>0.69925423684408983</v>
      </c>
      <c r="Q461" s="337">
        <f t="shared" si="171"/>
        <v>0.69925423684408972</v>
      </c>
      <c r="R461" s="337">
        <f t="shared" si="172"/>
        <v>0.6772475657061483</v>
      </c>
      <c r="S461" s="323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338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627</v>
      </c>
      <c r="AD461" s="3" t="s">
        <v>627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323">
        <f t="shared" si="178"/>
        <v>0.88166304126662065</v>
      </c>
      <c r="AO461" s="323">
        <f t="shared" si="179"/>
        <v>0.88166304126662021</v>
      </c>
      <c r="AP461" s="323">
        <f t="shared" si="180"/>
        <v>0.92851038673875175</v>
      </c>
      <c r="AQ461" s="323">
        <f t="shared" si="181"/>
        <v>0.18821056867038832</v>
      </c>
      <c r="AR461" s="323">
        <f>Modelling_new[[#This Row],[Target E_Grid MTD
MWh]]/Modelling_new[[#This Row],[MTD DC Capcity]]/(24*CG461)</f>
        <v>0.16914101503690179</v>
      </c>
      <c r="AS461" s="323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627</v>
      </c>
      <c r="BI461" s="3" t="s">
        <v>627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323">
        <f>BM461/Modelling[[#This Row],[Comisined DC ]]/BP461</f>
        <v>0.74827694992965155</v>
      </c>
      <c r="BT461" s="337">
        <f>BN461/BQ461/Modelling[[#This Row],[Comisined DC ]]</f>
        <v>0.74827694992965121</v>
      </c>
      <c r="BU461" s="337">
        <f>BO461/BR461/Modelling[[#This Row],[Comisined DC ]]</f>
        <v>0.76003449365590925</v>
      </c>
      <c r="BV461" s="323">
        <f>BM461/(24*Modelling[[#This Row],[Comisined DC ]])</f>
        <v>0.15973634333914921</v>
      </c>
      <c r="BW461" s="323">
        <f>Modelling[[#This Row],[Target E_Grid MTD
MWh]]/Modelling[[#This Row],[MTD DC Capcity]]/(24*CG461)</f>
        <v>0.15973634333914924</v>
      </c>
      <c r="BX461" s="338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3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627</v>
      </c>
      <c r="F462" s="3" t="s">
        <v>627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323">
        <f t="shared" si="170"/>
        <v>0.69925423684408983</v>
      </c>
      <c r="Q462" s="337">
        <f t="shared" si="171"/>
        <v>0.69925423684408972</v>
      </c>
      <c r="R462" s="337">
        <f t="shared" si="172"/>
        <v>0.677476114136775</v>
      </c>
      <c r="S462" s="323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338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627</v>
      </c>
      <c r="AD462" s="3" t="s">
        <v>627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323">
        <f t="shared" si="178"/>
        <v>0.88166304126662065</v>
      </c>
      <c r="AO462" s="323">
        <f t="shared" si="179"/>
        <v>0.88166304126662021</v>
      </c>
      <c r="AP462" s="323">
        <f t="shared" si="180"/>
        <v>0.92802385757586447</v>
      </c>
      <c r="AQ462" s="323">
        <f t="shared" si="181"/>
        <v>0.18821056867038832</v>
      </c>
      <c r="AR462" s="323">
        <f>Modelling_new[[#This Row],[Target E_Grid MTD
MWh]]/Modelling_new[[#This Row],[MTD DC Capcity]]/(24*CG462)</f>
        <v>0.16914101503690177</v>
      </c>
      <c r="AS462" s="323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627</v>
      </c>
      <c r="BI462" s="3" t="s">
        <v>627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323">
        <f>BM462/Modelling[[#This Row],[Comisined DC ]]/BP462</f>
        <v>0.74827694992965155</v>
      </c>
      <c r="BT462" s="337">
        <f>BN462/BQ462/Modelling[[#This Row],[Comisined DC ]]</f>
        <v>0.74827694992965121</v>
      </c>
      <c r="BU462" s="337">
        <f>BO462/BR462/Modelling[[#This Row],[Comisined DC ]]</f>
        <v>0.75991238667526628</v>
      </c>
      <c r="BV462" s="323">
        <f>BM462/(24*Modelling[[#This Row],[Comisined DC ]])</f>
        <v>0.15973634333914921</v>
      </c>
      <c r="BW462" s="323">
        <f>Modelling[[#This Row],[Target E_Grid MTD
MWh]]/Modelling[[#This Row],[MTD DC Capcity]]/(24*CG462)</f>
        <v>0.15973634333914927</v>
      </c>
      <c r="BX462" s="338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3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627</v>
      </c>
      <c r="F463" s="3" t="s">
        <v>627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323">
        <f t="shared" si="170"/>
        <v>0.69925423684408983</v>
      </c>
      <c r="Q463" s="337">
        <f t="shared" si="171"/>
        <v>0.69925423684408972</v>
      </c>
      <c r="R463" s="337">
        <f t="shared" si="172"/>
        <v>0.67769996422071066</v>
      </c>
      <c r="S463" s="323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338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627</v>
      </c>
      <c r="AD463" s="3" t="s">
        <v>627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323">
        <f t="shared" si="178"/>
        <v>0.88166304126662065</v>
      </c>
      <c r="AO463" s="323">
        <f t="shared" si="179"/>
        <v>0.88166304126662021</v>
      </c>
      <c r="AP463" s="323">
        <f t="shared" si="180"/>
        <v>0.92754733015604873</v>
      </c>
      <c r="AQ463" s="323">
        <f t="shared" si="181"/>
        <v>0.18821056867038832</v>
      </c>
      <c r="AR463" s="323">
        <f>Modelling_new[[#This Row],[Target E_Grid MTD
MWh]]/Modelling_new[[#This Row],[MTD DC Capcity]]/(24*CG463)</f>
        <v>0.16914101503690174</v>
      </c>
      <c r="AS463" s="323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627</v>
      </c>
      <c r="BI463" s="3" t="s">
        <v>627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323">
        <f>BM463/Modelling[[#This Row],[Comisined DC ]]/BP463</f>
        <v>0.74827694992965155</v>
      </c>
      <c r="BT463" s="337">
        <f>BN463/BQ463/Modelling[[#This Row],[Comisined DC ]]</f>
        <v>0.74827694992965121</v>
      </c>
      <c r="BU463" s="337">
        <f>BO463/BR463/Modelling[[#This Row],[Comisined DC ]]</f>
        <v>0.75979278988875076</v>
      </c>
      <c r="BV463" s="323">
        <f>BM463/(24*Modelling[[#This Row],[Comisined DC ]])</f>
        <v>0.15973634333914921</v>
      </c>
      <c r="BW463" s="323">
        <f>Modelling[[#This Row],[Target E_Grid MTD
MWh]]/Modelling[[#This Row],[MTD DC Capcity]]/(24*CG463)</f>
        <v>0.15973634333914924</v>
      </c>
      <c r="BX463" s="338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3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627</v>
      </c>
      <c r="F464" s="3" t="s">
        <v>627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323">
        <f t="shared" si="170"/>
        <v>0.69925423684408983</v>
      </c>
      <c r="Q464" s="337">
        <f t="shared" si="171"/>
        <v>0.69925423684408983</v>
      </c>
      <c r="R464" s="337">
        <f t="shared" si="172"/>
        <v>0.67791925936218234</v>
      </c>
      <c r="S464" s="323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338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627</v>
      </c>
      <c r="AD464" s="3" t="s">
        <v>627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323">
        <f t="shared" si="178"/>
        <v>0.88166304126662065</v>
      </c>
      <c r="AO464" s="323">
        <f t="shared" si="179"/>
        <v>0.88166304126662021</v>
      </c>
      <c r="AP464" s="323">
        <f t="shared" si="180"/>
        <v>0.92708049920335744</v>
      </c>
      <c r="AQ464" s="323">
        <f t="shared" si="181"/>
        <v>0.18821056867038832</v>
      </c>
      <c r="AR464" s="323">
        <f>Modelling_new[[#This Row],[Target E_Grid MTD
MWh]]/Modelling_new[[#This Row],[MTD DC Capcity]]/(24*CG464)</f>
        <v>0.16914101503690179</v>
      </c>
      <c r="AS464" s="323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627</v>
      </c>
      <c r="BI464" s="3" t="s">
        <v>627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323">
        <f>BM464/Modelling[[#This Row],[Comisined DC ]]/BP464</f>
        <v>0.74827694992965155</v>
      </c>
      <c r="BT464" s="337">
        <f>BN464/BQ464/Modelling[[#This Row],[Comisined DC ]]</f>
        <v>0.74827694992965121</v>
      </c>
      <c r="BU464" s="337">
        <f>BO464/BR464/Modelling[[#This Row],[Comisined DC ]]</f>
        <v>0.75967562667952904</v>
      </c>
      <c r="BV464" s="323">
        <f>BM464/(24*Modelling[[#This Row],[Comisined DC ]])</f>
        <v>0.15973634333914921</v>
      </c>
      <c r="BW464" s="323">
        <f>Modelling[[#This Row],[Target E_Grid MTD
MWh]]/Modelling[[#This Row],[MTD DC Capcity]]/(24*CG464)</f>
        <v>0.15973634333914927</v>
      </c>
      <c r="BX464" s="338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3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627</v>
      </c>
      <c r="F465" s="3" t="s">
        <v>627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323">
        <f t="shared" si="170"/>
        <v>0.69925423684408983</v>
      </c>
      <c r="Q465" s="337">
        <f t="shared" si="171"/>
        <v>0.69925423684408983</v>
      </c>
      <c r="R465" s="337">
        <f t="shared" si="172"/>
        <v>0.67813413718816473</v>
      </c>
      <c r="S465" s="323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338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627</v>
      </c>
      <c r="AD465" s="3" t="s">
        <v>627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323">
        <f t="shared" si="178"/>
        <v>0.88166304126662065</v>
      </c>
      <c r="AO465" s="323">
        <f t="shared" si="179"/>
        <v>0.88166304126662043</v>
      </c>
      <c r="AP465" s="323">
        <f t="shared" si="180"/>
        <v>0.92662307174033953</v>
      </c>
      <c r="AQ465" s="323">
        <f t="shared" si="181"/>
        <v>0.18821056867038832</v>
      </c>
      <c r="AR465" s="323">
        <f>Modelling_new[[#This Row],[Target E_Grid MTD
MWh]]/Modelling_new[[#This Row],[MTD DC Capcity]]/(24*CG465)</f>
        <v>0.16914101503690179</v>
      </c>
      <c r="AS465" s="323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627</v>
      </c>
      <c r="BI465" s="3" t="s">
        <v>627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323">
        <f>BM465/Modelling[[#This Row],[Comisined DC ]]/BP465</f>
        <v>0.74827694992965155</v>
      </c>
      <c r="BT465" s="337">
        <f>BN465/BQ465/Modelling[[#This Row],[Comisined DC ]]</f>
        <v>0.74827694992965121</v>
      </c>
      <c r="BU465" s="337">
        <f>BO465/BR465/Modelling[[#This Row],[Comisined DC ]]</f>
        <v>0.75956082351738985</v>
      </c>
      <c r="BV465" s="323">
        <f>BM465/(24*Modelling[[#This Row],[Comisined DC ]])</f>
        <v>0.15973634333914921</v>
      </c>
      <c r="BW465" s="323">
        <f>Modelling[[#This Row],[Target E_Grid MTD
MWh]]/Modelling[[#This Row],[MTD DC Capcity]]/(24*CG465)</f>
        <v>0.15973634333914927</v>
      </c>
      <c r="BX465" s="338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3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627</v>
      </c>
      <c r="F466" s="3" t="s">
        <v>627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323">
        <f t="shared" si="170"/>
        <v>0.69925423684408983</v>
      </c>
      <c r="Q466" s="337">
        <f t="shared" si="171"/>
        <v>0.69925423684408983</v>
      </c>
      <c r="R466" s="337">
        <f t="shared" si="172"/>
        <v>0.67834472983641025</v>
      </c>
      <c r="S466" s="323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338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627</v>
      </c>
      <c r="AD466" s="3" t="s">
        <v>627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323">
        <f t="shared" si="178"/>
        <v>0.88166304126662065</v>
      </c>
      <c r="AO466" s="323">
        <f t="shared" si="179"/>
        <v>0.88166304126662043</v>
      </c>
      <c r="AP466" s="323">
        <f t="shared" si="180"/>
        <v>0.92617476647488572</v>
      </c>
      <c r="AQ466" s="323">
        <f t="shared" si="181"/>
        <v>0.18821056867038832</v>
      </c>
      <c r="AR466" s="323">
        <f>Modelling_new[[#This Row],[Target E_Grid MTD
MWh]]/Modelling_new[[#This Row],[MTD DC Capcity]]/(24*CG466)</f>
        <v>0.16914101503690179</v>
      </c>
      <c r="AS466" s="323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627</v>
      </c>
      <c r="BI466" s="3" t="s">
        <v>627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323">
        <f>BM466/Modelling[[#This Row],[Comisined DC ]]/BP466</f>
        <v>0.74827694992965155</v>
      </c>
      <c r="BT466" s="337">
        <f>BN466/BQ466/Modelling[[#This Row],[Comisined DC ]]</f>
        <v>0.74827694992965144</v>
      </c>
      <c r="BU466" s="337">
        <f>BO466/BR466/Modelling[[#This Row],[Comisined DC ]]</f>
        <v>0.75944830980485889</v>
      </c>
      <c r="BV466" s="323">
        <f>BM466/(24*Modelling[[#This Row],[Comisined DC ]])</f>
        <v>0.15973634333914921</v>
      </c>
      <c r="BW466" s="323">
        <f>Modelling[[#This Row],[Target E_Grid MTD
MWh]]/Modelling[[#This Row],[MTD DC Capcity]]/(24*CG466)</f>
        <v>0.15973634333914929</v>
      </c>
      <c r="BX466" s="338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3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627</v>
      </c>
      <c r="F467" s="3" t="s">
        <v>627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323">
        <f t="shared" si="170"/>
        <v>0.69925423684408983</v>
      </c>
      <c r="Q467" s="337">
        <f t="shared" si="171"/>
        <v>0.69925423684408983</v>
      </c>
      <c r="R467" s="337">
        <f t="shared" si="172"/>
        <v>0.67855116422641804</v>
      </c>
      <c r="S467" s="323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338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627</v>
      </c>
      <c r="AD467" s="3" t="s">
        <v>627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323">
        <f t="shared" si="178"/>
        <v>0.88166304126662065</v>
      </c>
      <c r="AO467" s="323">
        <f t="shared" si="179"/>
        <v>0.88166304126662054</v>
      </c>
      <c r="AP467" s="323">
        <f t="shared" si="180"/>
        <v>0.92573531322339631</v>
      </c>
      <c r="AQ467" s="323">
        <f t="shared" si="181"/>
        <v>0.18821056867038832</v>
      </c>
      <c r="AR467" s="323">
        <f>Modelling_new[[#This Row],[Target E_Grid MTD
MWh]]/Modelling_new[[#This Row],[MTD DC Capcity]]/(24*CG467)</f>
        <v>0.16914101503690179</v>
      </c>
      <c r="AS467" s="323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627</v>
      </c>
      <c r="BI467" s="3" t="s">
        <v>627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323">
        <f>BM467/Modelling[[#This Row],[Comisined DC ]]/BP467</f>
        <v>0.74827694992965155</v>
      </c>
      <c r="BT467" s="337">
        <f>BN467/BQ467/Modelling[[#This Row],[Comisined DC ]]</f>
        <v>0.74827694992965144</v>
      </c>
      <c r="BU467" s="337">
        <f>BO467/BR467/Modelling[[#This Row],[Comisined DC ]]</f>
        <v>0.75933801773242759</v>
      </c>
      <c r="BV467" s="323">
        <f>BM467/(24*Modelling[[#This Row],[Comisined DC ]])</f>
        <v>0.15973634333914921</v>
      </c>
      <c r="BW467" s="323">
        <f>Modelling[[#This Row],[Target E_Grid MTD
MWh]]/Modelling[[#This Row],[MTD DC Capcity]]/(24*CG467)</f>
        <v>0.15973634333914932</v>
      </c>
      <c r="BX467" s="338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3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627</v>
      </c>
      <c r="F468" s="3" t="s">
        <v>627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323">
        <f t="shared" si="170"/>
        <v>0.69925423684408983</v>
      </c>
      <c r="Q468" s="337">
        <f t="shared" si="171"/>
        <v>0.69925423684408983</v>
      </c>
      <c r="R468" s="337">
        <f t="shared" si="172"/>
        <v>0.67875356231450812</v>
      </c>
      <c r="S468" s="323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338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627</v>
      </c>
      <c r="AD468" s="3" t="s">
        <v>627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323">
        <f t="shared" si="178"/>
        <v>0.88166304126662065</v>
      </c>
      <c r="AO468" s="323">
        <f t="shared" si="179"/>
        <v>0.88166304126662054</v>
      </c>
      <c r="AP468" s="323">
        <f t="shared" si="180"/>
        <v>0.92530445236778458</v>
      </c>
      <c r="AQ468" s="323">
        <f t="shared" si="181"/>
        <v>0.18821056867038832</v>
      </c>
      <c r="AR468" s="323">
        <f>Modelling_new[[#This Row],[Target E_Grid MTD
MWh]]/Modelling_new[[#This Row],[MTD DC Capcity]]/(24*CG468)</f>
        <v>0.16914101503690182</v>
      </c>
      <c r="AS468" s="323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627</v>
      </c>
      <c r="BI468" s="3" t="s">
        <v>627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323">
        <f>BM468/Modelling[[#This Row],[Comisined DC ]]/BP468</f>
        <v>0.74827694992965155</v>
      </c>
      <c r="BT468" s="337">
        <f>BN468/BQ468/Modelling[[#This Row],[Comisined DC ]]</f>
        <v>0.74827694992965144</v>
      </c>
      <c r="BU468" s="337">
        <f>BO468/BR468/Modelling[[#This Row],[Comisined DC ]]</f>
        <v>0.75922988214227327</v>
      </c>
      <c r="BV468" s="323">
        <f>BM468/(24*Modelling[[#This Row],[Comisined DC ]])</f>
        <v>0.15973634333914921</v>
      </c>
      <c r="BW468" s="323">
        <f>Modelling[[#This Row],[Target E_Grid MTD
MWh]]/Modelling[[#This Row],[MTD DC Capcity]]/(24*CG468)</f>
        <v>0.15973634333914932</v>
      </c>
      <c r="BX468" s="338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3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627</v>
      </c>
      <c r="F469" s="3" t="s">
        <v>627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323">
        <f t="shared" si="170"/>
        <v>0.69925423684408983</v>
      </c>
      <c r="Q469" s="337">
        <f t="shared" si="171"/>
        <v>0.69925423684408983</v>
      </c>
      <c r="R469" s="337">
        <f t="shared" si="172"/>
        <v>0.67895204133407894</v>
      </c>
      <c r="S469" s="323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338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627</v>
      </c>
      <c r="AD469" s="3" t="s">
        <v>627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323">
        <f t="shared" si="178"/>
        <v>0.88166304126662065</v>
      </c>
      <c r="AO469" s="323">
        <f t="shared" si="179"/>
        <v>0.88166304126662065</v>
      </c>
      <c r="AP469" s="323">
        <f t="shared" si="180"/>
        <v>0.92488193434402155</v>
      </c>
      <c r="AQ469" s="323">
        <f t="shared" si="181"/>
        <v>0.18821056867038832</v>
      </c>
      <c r="AR469" s="323">
        <f>Modelling_new[[#This Row],[Target E_Grid MTD
MWh]]/Modelling_new[[#This Row],[MTD DC Capcity]]/(24*CG469)</f>
        <v>0.16914101503690182</v>
      </c>
      <c r="AS469" s="323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627</v>
      </c>
      <c r="BI469" s="3" t="s">
        <v>627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323">
        <f>BM469/Modelling[[#This Row],[Comisined DC ]]/BP469</f>
        <v>0.74827694992965155</v>
      </c>
      <c r="BT469" s="337">
        <f>BN469/BQ469/Modelling[[#This Row],[Comisined DC ]]</f>
        <v>0.74827694992965155</v>
      </c>
      <c r="BU469" s="337">
        <f>BO469/BR469/Modelling[[#This Row],[Comisined DC ]]</f>
        <v>0.75912384039989778</v>
      </c>
      <c r="BV469" s="323">
        <f>BM469/(24*Modelling[[#This Row],[Comisined DC ]])</f>
        <v>0.15973634333914921</v>
      </c>
      <c r="BW469" s="323">
        <f>Modelling[[#This Row],[Target E_Grid MTD
MWh]]/Modelling[[#This Row],[MTD DC Capcity]]/(24*CG469)</f>
        <v>0.15973634333914932</v>
      </c>
      <c r="BX469" s="338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3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627</v>
      </c>
      <c r="F470" s="3" t="s">
        <v>627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323">
        <f t="shared" si="170"/>
        <v>0.69925423684408983</v>
      </c>
      <c r="Q470" s="337">
        <f t="shared" si="171"/>
        <v>0.69925423684408983</v>
      </c>
      <c r="R470" s="337">
        <f t="shared" si="172"/>
        <v>0.67914671402204152</v>
      </c>
      <c r="S470" s="323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338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627</v>
      </c>
      <c r="AD470" s="3" t="s">
        <v>627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323">
        <f t="shared" si="178"/>
        <v>0.88166304126662065</v>
      </c>
      <c r="AO470" s="323">
        <f t="shared" si="179"/>
        <v>0.88166304126662065</v>
      </c>
      <c r="AP470" s="323">
        <f t="shared" si="180"/>
        <v>0.92446751916010728</v>
      </c>
      <c r="AQ470" s="323">
        <f t="shared" si="181"/>
        <v>0.18821056867038832</v>
      </c>
      <c r="AR470" s="323">
        <f>Modelling_new[[#This Row],[Target E_Grid MTD
MWh]]/Modelling_new[[#This Row],[MTD DC Capcity]]/(24*CG470)</f>
        <v>0.16914101503690185</v>
      </c>
      <c r="AS470" s="323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627</v>
      </c>
      <c r="BI470" s="3" t="s">
        <v>627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323">
        <f>BM470/Modelling[[#This Row],[Comisined DC ]]/BP470</f>
        <v>0.74827694992965155</v>
      </c>
      <c r="BT470" s="337">
        <f>BN470/BQ470/Modelling[[#This Row],[Comisined DC ]]</f>
        <v>0.74827694992965155</v>
      </c>
      <c r="BU470" s="337">
        <f>BO470/BR470/Modelling[[#This Row],[Comisined DC ]]</f>
        <v>0.75901983227314951</v>
      </c>
      <c r="BV470" s="323">
        <f>BM470/(24*Modelling[[#This Row],[Comisined DC ]])</f>
        <v>0.15973634333914921</v>
      </c>
      <c r="BW470" s="323">
        <f>Modelling[[#This Row],[Target E_Grid MTD
MWh]]/Modelling[[#This Row],[MTD DC Capcity]]/(24*CG470)</f>
        <v>0.15973634333914935</v>
      </c>
      <c r="BX470" s="338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3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627</v>
      </c>
      <c r="F471" s="3" t="s">
        <v>627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323">
        <f t="shared" si="170"/>
        <v>0.69925423684408983</v>
      </c>
      <c r="Q471" s="337">
        <f t="shared" si="171"/>
        <v>0.69925423684408983</v>
      </c>
      <c r="R471" s="337">
        <f t="shared" si="172"/>
        <v>0.67933768883235046</v>
      </c>
      <c r="S471" s="323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338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627</v>
      </c>
      <c r="AD471" s="3" t="s">
        <v>627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323">
        <f t="shared" si="178"/>
        <v>0.88166304126662065</v>
      </c>
      <c r="AO471" s="323">
        <f t="shared" si="179"/>
        <v>0.88166304126662065</v>
      </c>
      <c r="AP471" s="323">
        <f t="shared" si="180"/>
        <v>0.9240609759415106</v>
      </c>
      <c r="AQ471" s="323">
        <f t="shared" si="181"/>
        <v>0.18821056867038832</v>
      </c>
      <c r="AR471" s="323">
        <f>Modelling_new[[#This Row],[Target E_Grid MTD
MWh]]/Modelling_new[[#This Row],[MTD DC Capcity]]/(24*CG471)</f>
        <v>0.16914101503690185</v>
      </c>
      <c r="AS471" s="323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627</v>
      </c>
      <c r="BI471" s="3" t="s">
        <v>627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323">
        <f>BM471/Modelling[[#This Row],[Comisined DC ]]/BP471</f>
        <v>0.74827694992965155</v>
      </c>
      <c r="BT471" s="337">
        <f>BN471/BQ471/Modelling[[#This Row],[Comisined DC ]]</f>
        <v>0.74827694992965155</v>
      </c>
      <c r="BU471" s="337">
        <f>BO471/BR471/Modelling[[#This Row],[Comisined DC ]]</f>
        <v>0.75891779981813845</v>
      </c>
      <c r="BV471" s="323">
        <f>BM471/(24*Modelling[[#This Row],[Comisined DC ]])</f>
        <v>0.15973634333914921</v>
      </c>
      <c r="BW471" s="323">
        <f>Modelling[[#This Row],[Target E_Grid MTD
MWh]]/Modelling[[#This Row],[MTD DC Capcity]]/(24*CG471)</f>
        <v>0.15973634333914935</v>
      </c>
      <c r="BX471" s="338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3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627</v>
      </c>
      <c r="F472" s="3" t="s">
        <v>627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323">
        <f t="shared" si="170"/>
        <v>0.69925423684408983</v>
      </c>
      <c r="Q472" s="337">
        <f t="shared" si="171"/>
        <v>0.69925423684408983</v>
      </c>
      <c r="R472" s="337">
        <f t="shared" si="172"/>
        <v>0.67952507013748153</v>
      </c>
      <c r="S472" s="323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338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627</v>
      </c>
      <c r="AD472" s="3" t="s">
        <v>627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323">
        <f t="shared" si="178"/>
        <v>0.88166304126662065</v>
      </c>
      <c r="AO472" s="323">
        <f t="shared" si="179"/>
        <v>0.88166304126662087</v>
      </c>
      <c r="AP472" s="323">
        <f t="shared" si="180"/>
        <v>0.92366208250226789</v>
      </c>
      <c r="AQ472" s="323">
        <f t="shared" si="181"/>
        <v>0.18821056867038832</v>
      </c>
      <c r="AR472" s="323">
        <f>Modelling_new[[#This Row],[Target E_Grid MTD
MWh]]/Modelling_new[[#This Row],[MTD DC Capcity]]/(24*CG472)</f>
        <v>0.16914101503690185</v>
      </c>
      <c r="AS472" s="323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627</v>
      </c>
      <c r="BI472" s="3" t="s">
        <v>627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323">
        <f>BM472/Modelling[[#This Row],[Comisined DC ]]/BP472</f>
        <v>0.74827694992965155</v>
      </c>
      <c r="BT472" s="337">
        <f>BN472/BQ472/Modelling[[#This Row],[Comisined DC ]]</f>
        <v>0.74827694992965166</v>
      </c>
      <c r="BU472" s="337">
        <f>BO472/BR472/Modelling[[#This Row],[Comisined DC ]]</f>
        <v>0.75881768727159493</v>
      </c>
      <c r="BV472" s="323">
        <f>BM472/(24*Modelling[[#This Row],[Comisined DC ]])</f>
        <v>0.15973634333914921</v>
      </c>
      <c r="BW472" s="323">
        <f>Modelling[[#This Row],[Target E_Grid MTD
MWh]]/Modelling[[#This Row],[MTD DC Capcity]]/(24*CG472)</f>
        <v>0.15973634333914938</v>
      </c>
      <c r="BX472" s="338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3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627</v>
      </c>
      <c r="F473" s="3" t="s">
        <v>627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323">
        <f t="shared" si="170"/>
        <v>0.69925423684408983</v>
      </c>
      <c r="Q473" s="337">
        <f t="shared" si="171"/>
        <v>0.69925423684408983</v>
      </c>
      <c r="R473" s="337">
        <f t="shared" si="172"/>
        <v>0.6797089584186411</v>
      </c>
      <c r="S473" s="323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338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627</v>
      </c>
      <c r="AD473" s="3" t="s">
        <v>627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323">
        <f t="shared" si="178"/>
        <v>0.88166304126662065</v>
      </c>
      <c r="AO473" s="323">
        <f t="shared" si="179"/>
        <v>0.88166304126662087</v>
      </c>
      <c r="AP473" s="323">
        <f t="shared" si="180"/>
        <v>0.92327062494006962</v>
      </c>
      <c r="AQ473" s="323">
        <f t="shared" si="181"/>
        <v>0.18821056867038832</v>
      </c>
      <c r="AR473" s="323">
        <f>Modelling_new[[#This Row],[Target E_Grid MTD
MWh]]/Modelling_new[[#This Row],[MTD DC Capcity]]/(24*CG473)</f>
        <v>0.16914101503690185</v>
      </c>
      <c r="AS473" s="323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627</v>
      </c>
      <c r="BI473" s="3" t="s">
        <v>627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323">
        <f>BM473/Modelling[[#This Row],[Comisined DC ]]/BP473</f>
        <v>0.74827694992965155</v>
      </c>
      <c r="BT473" s="337">
        <f>BN473/BQ473/Modelling[[#This Row],[Comisined DC ]]</f>
        <v>0.74827694992965166</v>
      </c>
      <c r="BU473" s="337">
        <f>BO473/BR473/Modelling[[#This Row],[Comisined DC ]]</f>
        <v>0.75871944094924437</v>
      </c>
      <c r="BV473" s="323">
        <f>BM473/(24*Modelling[[#This Row],[Comisined DC ]])</f>
        <v>0.15973634333914921</v>
      </c>
      <c r="BW473" s="323">
        <f>Modelling[[#This Row],[Target E_Grid MTD
MWh]]/Modelling[[#This Row],[MTD DC Capcity]]/(24*CG473)</f>
        <v>0.15973634333914938</v>
      </c>
      <c r="BX473" s="338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3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627</v>
      </c>
      <c r="F474" s="3" t="s">
        <v>627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323">
        <f t="shared" si="170"/>
        <v>0.69925423684408983</v>
      </c>
      <c r="Q474" s="337">
        <f t="shared" si="171"/>
        <v>0.69925423684408983</v>
      </c>
      <c r="R474" s="337">
        <f t="shared" si="172"/>
        <v>0.67988945044543703</v>
      </c>
      <c r="S474" s="323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338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627</v>
      </c>
      <c r="AD474" s="3" t="s">
        <v>627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323">
        <f t="shared" si="178"/>
        <v>0.88166304126662065</v>
      </c>
      <c r="AO474" s="323">
        <f t="shared" si="179"/>
        <v>0.88166304126662087</v>
      </c>
      <c r="AP474" s="323">
        <f t="shared" si="180"/>
        <v>0.92288639725377952</v>
      </c>
      <c r="AQ474" s="323">
        <f t="shared" si="181"/>
        <v>0.18821056867038832</v>
      </c>
      <c r="AR474" s="323">
        <f>Modelling_new[[#This Row],[Target E_Grid MTD
MWh]]/Modelling_new[[#This Row],[MTD DC Capcity]]/(24*CG474)</f>
        <v>0.16914101503690185</v>
      </c>
      <c r="AS474" s="323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627</v>
      </c>
      <c r="BI474" s="3" t="s">
        <v>627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323">
        <f>BM474/Modelling[[#This Row],[Comisined DC ]]/BP474</f>
        <v>0.74827694992965155</v>
      </c>
      <c r="BT474" s="337">
        <f>BN474/BQ474/Modelling[[#This Row],[Comisined DC ]]</f>
        <v>0.74827694992965166</v>
      </c>
      <c r="BU474" s="337">
        <f>BO474/BR474/Modelling[[#This Row],[Comisined DC ]]</f>
        <v>0.75862300914981462</v>
      </c>
      <c r="BV474" s="323">
        <f>BM474/(24*Modelling[[#This Row],[Comisined DC ]])</f>
        <v>0.15973634333914921</v>
      </c>
      <c r="BW474" s="323">
        <f>Modelling[[#This Row],[Target E_Grid MTD
MWh]]/Modelling[[#This Row],[MTD DC Capcity]]/(24*CG474)</f>
        <v>0.15973634333914938</v>
      </c>
      <c r="BX474" s="338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3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627</v>
      </c>
      <c r="F475" s="3" t="s">
        <v>627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323">
        <f t="shared" si="170"/>
        <v>0.71544785565665769</v>
      </c>
      <c r="Q475" s="337">
        <f t="shared" si="171"/>
        <v>0.71544785565665781</v>
      </c>
      <c r="R475" s="337">
        <f t="shared" si="172"/>
        <v>0.6801696446233535</v>
      </c>
      <c r="S475" s="323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338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627</v>
      </c>
      <c r="AD475" s="3" t="s">
        <v>627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323">
        <f t="shared" si="178"/>
        <v>0.81993801579603653</v>
      </c>
      <c r="AO475" s="323">
        <f t="shared" si="179"/>
        <v>0.81993801579603642</v>
      </c>
      <c r="AP475" s="323">
        <f t="shared" si="180"/>
        <v>0.9220751815387036</v>
      </c>
      <c r="AQ475" s="323">
        <f t="shared" si="181"/>
        <v>0.15054238300771317</v>
      </c>
      <c r="AR475" s="323">
        <f>Modelling_new[[#This Row],[Target E_Grid MTD
MWh]]/Modelling_new[[#This Row],[MTD DC Capcity]]/(24*CG475)</f>
        <v>0.13528938171687696</v>
      </c>
      <c r="AS475" s="323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627</v>
      </c>
      <c r="BI475" s="3" t="s">
        <v>627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323">
        <f>BM475/Modelling[[#This Row],[Comisined DC ]]/BP475</f>
        <v>0.72672610563703754</v>
      </c>
      <c r="BT475" s="337">
        <f>BN475/BQ475/Modelling[[#This Row],[Comisined DC ]]</f>
        <v>0.72672610563703754</v>
      </c>
      <c r="BU475" s="337">
        <f>BO475/BR475/Modelling[[#This Row],[Comisined DC ]]</f>
        <v>0.75837166698177427</v>
      </c>
      <c r="BV475" s="323">
        <f>BM475/(24*Modelling[[#This Row],[Comisined DC ]])</f>
        <v>0.13342847584680018</v>
      </c>
      <c r="BW475" s="323">
        <f>Modelling[[#This Row],[Target E_Grid MTD
MWh]]/Modelling[[#This Row],[MTD DC Capcity]]/(24*CG475)</f>
        <v>0.13342847584680018</v>
      </c>
      <c r="BX475" s="338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3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627</v>
      </c>
      <c r="F476" s="3" t="s">
        <v>627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323">
        <f t="shared" si="170"/>
        <v>0.71544785565665769</v>
      </c>
      <c r="Q476" s="337">
        <f t="shared" si="171"/>
        <v>0.71544785565665781</v>
      </c>
      <c r="R476" s="337">
        <f t="shared" si="172"/>
        <v>0.68044545755988906</v>
      </c>
      <c r="S476" s="323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338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627</v>
      </c>
      <c r="AD476" s="3" t="s">
        <v>627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323">
        <f t="shared" si="178"/>
        <v>0.81993801579603653</v>
      </c>
      <c r="AO476" s="323">
        <f t="shared" si="179"/>
        <v>0.81993801579603642</v>
      </c>
      <c r="AP476" s="323">
        <f t="shared" si="180"/>
        <v>0.92127665035506989</v>
      </c>
      <c r="AQ476" s="323">
        <f t="shared" si="181"/>
        <v>0.15054238300771317</v>
      </c>
      <c r="AR476" s="323">
        <f>Modelling_new[[#This Row],[Target E_Grid MTD
MWh]]/Modelling_new[[#This Row],[MTD DC Capcity]]/(24*CG476)</f>
        <v>0.13528938171687696</v>
      </c>
      <c r="AS476" s="323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627</v>
      </c>
      <c r="BI476" s="3" t="s">
        <v>627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323">
        <f>BM476/Modelling[[#This Row],[Comisined DC ]]/BP476</f>
        <v>0.72672610563703754</v>
      </c>
      <c r="BT476" s="337">
        <f>BN476/BQ476/Modelling[[#This Row],[Comisined DC ]]</f>
        <v>0.72672610563703754</v>
      </c>
      <c r="BU476" s="337">
        <f>BO476/BR476/Modelling[[#This Row],[Comisined DC ]]</f>
        <v>0.75812425491219471</v>
      </c>
      <c r="BV476" s="323">
        <f>BM476/(24*Modelling[[#This Row],[Comisined DC ]])</f>
        <v>0.13342847584680018</v>
      </c>
      <c r="BW476" s="323">
        <f>Modelling[[#This Row],[Target E_Grid MTD
MWh]]/Modelling[[#This Row],[MTD DC Capcity]]/(24*CG476)</f>
        <v>0.13342847584680018</v>
      </c>
      <c r="BX476" s="338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3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627</v>
      </c>
      <c r="F477" s="3" t="s">
        <v>627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323">
        <f t="shared" si="170"/>
        <v>0.71544785565665769</v>
      </c>
      <c r="Q477" s="337">
        <f t="shared" si="171"/>
        <v>0.71544785565665781</v>
      </c>
      <c r="R477" s="337">
        <f t="shared" si="172"/>
        <v>0.68071699121844331</v>
      </c>
      <c r="S477" s="323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338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627</v>
      </c>
      <c r="AD477" s="3" t="s">
        <v>627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323">
        <f t="shared" si="178"/>
        <v>0.81993801579603653</v>
      </c>
      <c r="AO477" s="323">
        <f t="shared" si="179"/>
        <v>0.81993801579603642</v>
      </c>
      <c r="AP477" s="323">
        <f t="shared" si="180"/>
        <v>0.92049050849934233</v>
      </c>
      <c r="AQ477" s="323">
        <f t="shared" si="181"/>
        <v>0.15054238300771317</v>
      </c>
      <c r="AR477" s="323">
        <f>Modelling_new[[#This Row],[Target E_Grid MTD
MWh]]/Modelling_new[[#This Row],[MTD DC Capcity]]/(24*CG477)</f>
        <v>0.13528938171687693</v>
      </c>
      <c r="AS477" s="323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627</v>
      </c>
      <c r="BI477" s="3" t="s">
        <v>627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323">
        <f>BM477/Modelling[[#This Row],[Comisined DC ]]/BP477</f>
        <v>0.72672610563703754</v>
      </c>
      <c r="BT477" s="337">
        <f>BN477/BQ477/Modelling[[#This Row],[Comisined DC ]]</f>
        <v>0.72672610563703754</v>
      </c>
      <c r="BU477" s="337">
        <f>BO477/BR477/Modelling[[#This Row],[Comisined DC ]]</f>
        <v>0.75788068147699927</v>
      </c>
      <c r="BV477" s="323">
        <f>BM477/(24*Modelling[[#This Row],[Comisined DC ]])</f>
        <v>0.13342847584680018</v>
      </c>
      <c r="BW477" s="323">
        <f>Modelling[[#This Row],[Target E_Grid MTD
MWh]]/Modelling[[#This Row],[MTD DC Capcity]]/(24*CG477)</f>
        <v>0.13342847584680018</v>
      </c>
      <c r="BX477" s="338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3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627</v>
      </c>
      <c r="F478" s="3" t="s">
        <v>627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323">
        <f t="shared" si="170"/>
        <v>0.71544785565665769</v>
      </c>
      <c r="Q478" s="337">
        <f t="shared" si="171"/>
        <v>0.71544785565665781</v>
      </c>
      <c r="R478" s="337">
        <f t="shared" si="172"/>
        <v>0.68098434442281741</v>
      </c>
      <c r="S478" s="323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338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627</v>
      </c>
      <c r="AD478" s="3" t="s">
        <v>627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323">
        <f t="shared" si="178"/>
        <v>0.81993801579603653</v>
      </c>
      <c r="AO478" s="323">
        <f t="shared" si="179"/>
        <v>0.81993801579603642</v>
      </c>
      <c r="AP478" s="323">
        <f t="shared" si="180"/>
        <v>0.9197164698577226</v>
      </c>
      <c r="AQ478" s="323">
        <f t="shared" si="181"/>
        <v>0.15054238300771317</v>
      </c>
      <c r="AR478" s="323">
        <f>Modelling_new[[#This Row],[Target E_Grid MTD
MWh]]/Modelling_new[[#This Row],[MTD DC Capcity]]/(24*CG478)</f>
        <v>0.13528938171687696</v>
      </c>
      <c r="AS478" s="323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627</v>
      </c>
      <c r="BI478" s="3" t="s">
        <v>627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323">
        <f>BM478/Modelling[[#This Row],[Comisined DC ]]/BP478</f>
        <v>0.72672610563703754</v>
      </c>
      <c r="BT478" s="337">
        <f>BN478/BQ478/Modelling[[#This Row],[Comisined DC ]]</f>
        <v>0.72672610563703754</v>
      </c>
      <c r="BU478" s="337">
        <f>BO478/BR478/Modelling[[#This Row],[Comisined DC ]]</f>
        <v>0.75764085802841941</v>
      </c>
      <c r="BV478" s="323">
        <f>BM478/(24*Modelling[[#This Row],[Comisined DC ]])</f>
        <v>0.13342847584680018</v>
      </c>
      <c r="BW478" s="323">
        <f>Modelling[[#This Row],[Target E_Grid MTD
MWh]]/Modelling[[#This Row],[MTD DC Capcity]]/(24*CG478)</f>
        <v>0.13342847584680018</v>
      </c>
      <c r="BX478" s="338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3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627</v>
      </c>
      <c r="F479" s="3" t="s">
        <v>627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323">
        <f t="shared" si="170"/>
        <v>0.71544785565665769</v>
      </c>
      <c r="Q479" s="337">
        <f t="shared" si="171"/>
        <v>0.71544785565665769</v>
      </c>
      <c r="R479" s="337">
        <f t="shared" si="172"/>
        <v>0.68124761297713199</v>
      </c>
      <c r="S479" s="323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338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627</v>
      </c>
      <c r="AD479" s="3" t="s">
        <v>627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323">
        <f t="shared" si="178"/>
        <v>0.81993801579603653</v>
      </c>
      <c r="AO479" s="323">
        <f t="shared" si="179"/>
        <v>0.81993801579603642</v>
      </c>
      <c r="AP479" s="323">
        <f t="shared" si="180"/>
        <v>0.91895425705896472</v>
      </c>
      <c r="AQ479" s="323">
        <f t="shared" si="181"/>
        <v>0.15054238300771317</v>
      </c>
      <c r="AR479" s="323">
        <f>Modelling_new[[#This Row],[Target E_Grid MTD
MWh]]/Modelling_new[[#This Row],[MTD DC Capcity]]/(24*CG479)</f>
        <v>0.13528938171687693</v>
      </c>
      <c r="AS479" s="323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627</v>
      </c>
      <c r="BI479" s="3" t="s">
        <v>627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323">
        <f>BM479/Modelling[[#This Row],[Comisined DC ]]/BP479</f>
        <v>0.72672610563703754</v>
      </c>
      <c r="BT479" s="337">
        <f>BN479/BQ479/Modelling[[#This Row],[Comisined DC ]]</f>
        <v>0.72672610563703754</v>
      </c>
      <c r="BU479" s="337">
        <f>BO479/BR479/Modelling[[#This Row],[Comisined DC ]]</f>
        <v>0.7574046986274271</v>
      </c>
      <c r="BV479" s="323">
        <f>BM479/(24*Modelling[[#This Row],[Comisined DC ]])</f>
        <v>0.13342847584680018</v>
      </c>
      <c r="BW479" s="323">
        <f>Modelling[[#This Row],[Target E_Grid MTD
MWh]]/Modelling[[#This Row],[MTD DC Capcity]]/(24*CG479)</f>
        <v>0.13342847584680015</v>
      </c>
      <c r="BX479" s="338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3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627</v>
      </c>
      <c r="F480" s="3" t="s">
        <v>627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323">
        <f t="shared" si="170"/>
        <v>0.71544785565665769</v>
      </c>
      <c r="Q480" s="337">
        <f t="shared" si="171"/>
        <v>0.71544785565665769</v>
      </c>
      <c r="R480" s="337">
        <f t="shared" si="172"/>
        <v>0.68150688978029006</v>
      </c>
      <c r="S480" s="323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338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627</v>
      </c>
      <c r="AD480" s="3" t="s">
        <v>627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323">
        <f t="shared" si="178"/>
        <v>0.81993801579603653</v>
      </c>
      <c r="AO480" s="323">
        <f t="shared" si="179"/>
        <v>0.81993801579603642</v>
      </c>
      <c r="AP480" s="323">
        <f t="shared" si="180"/>
        <v>0.91820360114298349</v>
      </c>
      <c r="AQ480" s="323">
        <f t="shared" si="181"/>
        <v>0.15054238300771317</v>
      </c>
      <c r="AR480" s="323">
        <f>Modelling_new[[#This Row],[Target E_Grid MTD
MWh]]/Modelling_new[[#This Row],[MTD DC Capcity]]/(24*CG480)</f>
        <v>0.13528938171687696</v>
      </c>
      <c r="AS480" s="323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627</v>
      </c>
      <c r="BI480" s="3" t="s">
        <v>627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323">
        <f>BM480/Modelling[[#This Row],[Comisined DC ]]/BP480</f>
        <v>0.72672610563703754</v>
      </c>
      <c r="BT480" s="337">
        <f>BN480/BQ480/Modelling[[#This Row],[Comisined DC ]]</f>
        <v>0.72672610563703743</v>
      </c>
      <c r="BU480" s="337">
        <f>BO480/BR480/Modelling[[#This Row],[Comisined DC ]]</f>
        <v>0.75717211994105715</v>
      </c>
      <c r="BV480" s="323">
        <f>BM480/(24*Modelling[[#This Row],[Comisined DC ]])</f>
        <v>0.13342847584680018</v>
      </c>
      <c r="BW480" s="323">
        <f>Modelling[[#This Row],[Target E_Grid MTD
MWh]]/Modelling[[#This Row],[MTD DC Capcity]]/(24*CG480)</f>
        <v>0.13342847584680015</v>
      </c>
      <c r="BX480" s="338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3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627</v>
      </c>
      <c r="F481" s="3" t="s">
        <v>627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323">
        <f t="shared" si="170"/>
        <v>0.71544785565665769</v>
      </c>
      <c r="Q481" s="337">
        <f t="shared" si="171"/>
        <v>0.71544785565665769</v>
      </c>
      <c r="R481" s="337">
        <f t="shared" si="172"/>
        <v>0.68176226493527281</v>
      </c>
      <c r="S481" s="323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338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627</v>
      </c>
      <c r="AD481" s="3" t="s">
        <v>627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323">
        <f t="shared" si="178"/>
        <v>0.81993801579603653</v>
      </c>
      <c r="AO481" s="323">
        <f t="shared" si="179"/>
        <v>0.81993801579603631</v>
      </c>
      <c r="AP481" s="323">
        <f t="shared" si="180"/>
        <v>0.9174642412444215</v>
      </c>
      <c r="AQ481" s="323">
        <f t="shared" si="181"/>
        <v>0.15054238300771317</v>
      </c>
      <c r="AR481" s="323">
        <f>Modelling_new[[#This Row],[Target E_Grid MTD
MWh]]/Modelling_new[[#This Row],[MTD DC Capcity]]/(24*CG481)</f>
        <v>0.13528938171687693</v>
      </c>
      <c r="AS481" s="323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627</v>
      </c>
      <c r="BI481" s="3" t="s">
        <v>627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323">
        <f>BM481/Modelling[[#This Row],[Comisined DC ]]/BP481</f>
        <v>0.72672610563703754</v>
      </c>
      <c r="BT481" s="337">
        <f>BN481/BQ481/Modelling[[#This Row],[Comisined DC ]]</f>
        <v>0.72672610563703743</v>
      </c>
      <c r="BU481" s="337">
        <f>BO481/BR481/Modelling[[#This Row],[Comisined DC ]]</f>
        <v>0.75694304114436595</v>
      </c>
      <c r="BV481" s="323">
        <f>BM481/(24*Modelling[[#This Row],[Comisined DC ]])</f>
        <v>0.13342847584680018</v>
      </c>
      <c r="BW481" s="323">
        <f>Modelling[[#This Row],[Target E_Grid MTD
MWh]]/Modelling[[#This Row],[MTD DC Capcity]]/(24*CG481)</f>
        <v>0.13342847584680015</v>
      </c>
      <c r="BX481" s="338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3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627</v>
      </c>
      <c r="F482" s="3" t="s">
        <v>627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323">
        <f t="shared" si="170"/>
        <v>0.71544785565665769</v>
      </c>
      <c r="Q482" s="337">
        <f t="shared" si="171"/>
        <v>0.71544785565665769</v>
      </c>
      <c r="R482" s="337">
        <f t="shared" si="172"/>
        <v>0.68201382585353809</v>
      </c>
      <c r="S482" s="323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338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627</v>
      </c>
      <c r="AD482" s="3" t="s">
        <v>627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323">
        <f t="shared" si="178"/>
        <v>0.81993801579603653</v>
      </c>
      <c r="AO482" s="323">
        <f t="shared" si="179"/>
        <v>0.81993801579603631</v>
      </c>
      <c r="AP482" s="323">
        <f t="shared" si="180"/>
        <v>0.91673592429039619</v>
      </c>
      <c r="AQ482" s="323">
        <f t="shared" si="181"/>
        <v>0.15054238300771317</v>
      </c>
      <c r="AR482" s="323">
        <f>Modelling_new[[#This Row],[Target E_Grid MTD
MWh]]/Modelling_new[[#This Row],[MTD DC Capcity]]/(24*CG482)</f>
        <v>0.13528938171687696</v>
      </c>
      <c r="AS482" s="323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627</v>
      </c>
      <c r="BI482" s="3" t="s">
        <v>627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323">
        <f>BM482/Modelling[[#This Row],[Comisined DC ]]/BP482</f>
        <v>0.72672610563703754</v>
      </c>
      <c r="BT482" s="337">
        <f>BN482/BQ482/Modelling[[#This Row],[Comisined DC ]]</f>
        <v>0.72672610563703743</v>
      </c>
      <c r="BU482" s="337">
        <f>BO482/BR482/Modelling[[#This Row],[Comisined DC ]]</f>
        <v>0.75671738382678311</v>
      </c>
      <c r="BV482" s="323">
        <f>BM482/(24*Modelling[[#This Row],[Comisined DC ]])</f>
        <v>0.13342847584680018</v>
      </c>
      <c r="BW482" s="323">
        <f>Modelling[[#This Row],[Target E_Grid MTD
MWh]]/Modelling[[#This Row],[MTD DC Capcity]]/(24*CG482)</f>
        <v>0.13342847584680015</v>
      </c>
      <c r="BX482" s="338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3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627</v>
      </c>
      <c r="F483" s="3" t="s">
        <v>627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323">
        <f t="shared" si="170"/>
        <v>0.71544785565665769</v>
      </c>
      <c r="Q483" s="337">
        <f t="shared" si="171"/>
        <v>0.71544785565665769</v>
      </c>
      <c r="R483" s="337">
        <f t="shared" si="172"/>
        <v>0.68226165735477573</v>
      </c>
      <c r="S483" s="323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338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627</v>
      </c>
      <c r="AD483" s="3" t="s">
        <v>627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323">
        <f t="shared" si="178"/>
        <v>0.81993801579603653</v>
      </c>
      <c r="AO483" s="323">
        <f t="shared" si="179"/>
        <v>0.81993801579603631</v>
      </c>
      <c r="AP483" s="323">
        <f t="shared" si="180"/>
        <v>0.91601840471168916</v>
      </c>
      <c r="AQ483" s="323">
        <f t="shared" si="181"/>
        <v>0.15054238300771317</v>
      </c>
      <c r="AR483" s="323">
        <f>Modelling_new[[#This Row],[Target E_Grid MTD
MWh]]/Modelling_new[[#This Row],[MTD DC Capcity]]/(24*CG483)</f>
        <v>0.13528938171687693</v>
      </c>
      <c r="AS483" s="323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627</v>
      </c>
      <c r="BI483" s="3" t="s">
        <v>627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323">
        <f>BM483/Modelling[[#This Row],[Comisined DC ]]/BP483</f>
        <v>0.72672610563703754</v>
      </c>
      <c r="BT483" s="337">
        <f>BN483/BQ483/Modelling[[#This Row],[Comisined DC ]]</f>
        <v>0.72672610563703743</v>
      </c>
      <c r="BU483" s="337">
        <f>BO483/BR483/Modelling[[#This Row],[Comisined DC ]]</f>
        <v>0.75649507190262777</v>
      </c>
      <c r="BV483" s="323">
        <f>BM483/(24*Modelling[[#This Row],[Comisined DC ]])</f>
        <v>0.13342847584680018</v>
      </c>
      <c r="BW483" s="323">
        <f>Modelling[[#This Row],[Target E_Grid MTD
MWh]]/Modelling[[#This Row],[MTD DC Capcity]]/(24*CG483)</f>
        <v>0.13342847584680015</v>
      </c>
      <c r="BX483" s="338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3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627</v>
      </c>
      <c r="F484" s="3" t="s">
        <v>627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323">
        <f t="shared" si="170"/>
        <v>0.71544785565665769</v>
      </c>
      <c r="Q484" s="337">
        <f t="shared" si="171"/>
        <v>0.71544785565665769</v>
      </c>
      <c r="R484" s="337">
        <f t="shared" si="172"/>
        <v>0.68250584176225848</v>
      </c>
      <c r="S484" s="323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338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627</v>
      </c>
      <c r="AD484" s="3" t="s">
        <v>627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323">
        <f t="shared" si="178"/>
        <v>0.81993801579603653</v>
      </c>
      <c r="AO484" s="323">
        <f t="shared" si="179"/>
        <v>0.81993801579603631</v>
      </c>
      <c r="AP484" s="323">
        <f t="shared" si="180"/>
        <v>0.91531144416668575</v>
      </c>
      <c r="AQ484" s="323">
        <f t="shared" si="181"/>
        <v>0.15054238300771317</v>
      </c>
      <c r="AR484" s="323">
        <f>Modelling_new[[#This Row],[Target E_Grid MTD
MWh]]/Modelling_new[[#This Row],[MTD DC Capcity]]/(24*CG484)</f>
        <v>0.13528938171687696</v>
      </c>
      <c r="AS484" s="323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627</v>
      </c>
      <c r="BI484" s="3" t="s">
        <v>627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323">
        <f>BM484/Modelling[[#This Row],[Comisined DC ]]/BP484</f>
        <v>0.72672610563703754</v>
      </c>
      <c r="BT484" s="337">
        <f>BN484/BQ484/Modelling[[#This Row],[Comisined DC ]]</f>
        <v>0.72672610563703743</v>
      </c>
      <c r="BU484" s="337">
        <f>BO484/BR484/Modelling[[#This Row],[Comisined DC ]]</f>
        <v>0.75627603152557654</v>
      </c>
      <c r="BV484" s="323">
        <f>BM484/(24*Modelling[[#This Row],[Comisined DC ]])</f>
        <v>0.13342847584680018</v>
      </c>
      <c r="BW484" s="323">
        <f>Modelling[[#This Row],[Target E_Grid MTD
MWh]]/Modelling[[#This Row],[MTD DC Capcity]]/(24*CG484)</f>
        <v>0.13342847584680012</v>
      </c>
      <c r="BX484" s="338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3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627</v>
      </c>
      <c r="F485" s="3" t="s">
        <v>627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323">
        <f t="shared" si="170"/>
        <v>0.71544785565665769</v>
      </c>
      <c r="Q485" s="337">
        <f t="shared" si="171"/>
        <v>0.71544785565665769</v>
      </c>
      <c r="R485" s="337">
        <f t="shared" si="172"/>
        <v>0.6827464589940152</v>
      </c>
      <c r="S485" s="323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338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627</v>
      </c>
      <c r="AD485" s="3" t="s">
        <v>627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323">
        <f t="shared" si="178"/>
        <v>0.81993801579603653</v>
      </c>
      <c r="AO485" s="323">
        <f t="shared" si="179"/>
        <v>0.81993801579603631</v>
      </c>
      <c r="AP485" s="323">
        <f t="shared" si="180"/>
        <v>0.91461481127741384</v>
      </c>
      <c r="AQ485" s="323">
        <f t="shared" si="181"/>
        <v>0.15054238300771317</v>
      </c>
      <c r="AR485" s="323">
        <f>Modelling_new[[#This Row],[Target E_Grid MTD
MWh]]/Modelling_new[[#This Row],[MTD DC Capcity]]/(24*CG485)</f>
        <v>0.13528938171687693</v>
      </c>
      <c r="AS485" s="323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627</v>
      </c>
      <c r="BI485" s="3" t="s">
        <v>627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323">
        <f>BM485/Modelling[[#This Row],[Comisined DC ]]/BP485</f>
        <v>0.72672610563703754</v>
      </c>
      <c r="BT485" s="337">
        <f>BN485/BQ485/Modelling[[#This Row],[Comisined DC ]]</f>
        <v>0.72672610563703743</v>
      </c>
      <c r="BU485" s="337">
        <f>BO485/BR485/Modelling[[#This Row],[Comisined DC ]]</f>
        <v>0.75606019100687871</v>
      </c>
      <c r="BV485" s="323">
        <f>BM485/(24*Modelling[[#This Row],[Comisined DC ]])</f>
        <v>0.13342847584680018</v>
      </c>
      <c r="BW485" s="323">
        <f>Modelling[[#This Row],[Target E_Grid MTD
MWh]]/Modelling[[#This Row],[MTD DC Capcity]]/(24*CG485)</f>
        <v>0.13342847584680009</v>
      </c>
      <c r="BX485" s="338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3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627</v>
      </c>
      <c r="F486" s="3" t="s">
        <v>627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323">
        <f t="shared" si="170"/>
        <v>0.71544785565665769</v>
      </c>
      <c r="Q486" s="337">
        <f t="shared" si="171"/>
        <v>0.71544785565665758</v>
      </c>
      <c r="R486" s="337">
        <f t="shared" si="172"/>
        <v>0.68298358665003589</v>
      </c>
      <c r="S486" s="323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338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627</v>
      </c>
      <c r="AD486" s="3" t="s">
        <v>627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323">
        <f t="shared" si="178"/>
        <v>0.81993801579603653</v>
      </c>
      <c r="AO486" s="323">
        <f t="shared" si="179"/>
        <v>0.81993801579603631</v>
      </c>
      <c r="AP486" s="323">
        <f t="shared" si="180"/>
        <v>0.91392828137706572</v>
      </c>
      <c r="AQ486" s="323">
        <f t="shared" si="181"/>
        <v>0.15054238300771317</v>
      </c>
      <c r="AR486" s="323">
        <f>Modelling_new[[#This Row],[Target E_Grid MTD
MWh]]/Modelling_new[[#This Row],[MTD DC Capcity]]/(24*CG486)</f>
        <v>0.13528938171687693</v>
      </c>
      <c r="AS486" s="323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627</v>
      </c>
      <c r="BI486" s="3" t="s">
        <v>627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323">
        <f>BM486/Modelling[[#This Row],[Comisined DC ]]/BP486</f>
        <v>0.72672610563703754</v>
      </c>
      <c r="BT486" s="337">
        <f>BN486/BQ486/Modelling[[#This Row],[Comisined DC ]]</f>
        <v>0.72672610563703743</v>
      </c>
      <c r="BU486" s="337">
        <f>BO486/BR486/Modelling[[#This Row],[Comisined DC ]]</f>
        <v>0.75584748073713037</v>
      </c>
      <c r="BV486" s="323">
        <f>BM486/(24*Modelling[[#This Row],[Comisined DC ]])</f>
        <v>0.13342847584680018</v>
      </c>
      <c r="BW486" s="323">
        <f>Modelling[[#This Row],[Target E_Grid MTD
MWh]]/Modelling[[#This Row],[MTD DC Capcity]]/(24*CG486)</f>
        <v>0.13342847584680015</v>
      </c>
      <c r="BX486" s="338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3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627</v>
      </c>
      <c r="F487" s="3" t="s">
        <v>627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323">
        <f t="shared" si="170"/>
        <v>0.71544785565665769</v>
      </c>
      <c r="Q487" s="337">
        <f t="shared" si="171"/>
        <v>0.71544785565665758</v>
      </c>
      <c r="R487" s="337">
        <f t="shared" si="172"/>
        <v>0.6832173000957108</v>
      </c>
      <c r="S487" s="323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338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627</v>
      </c>
      <c r="AD487" s="3" t="s">
        <v>627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323">
        <f t="shared" si="178"/>
        <v>0.81993801579603653</v>
      </c>
      <c r="AO487" s="323">
        <f t="shared" si="179"/>
        <v>0.81993801579603631</v>
      </c>
      <c r="AP487" s="323">
        <f t="shared" si="180"/>
        <v>0.91325163626842742</v>
      </c>
      <c r="AQ487" s="323">
        <f t="shared" si="181"/>
        <v>0.15054238300771317</v>
      </c>
      <c r="AR487" s="323">
        <f>Modelling_new[[#This Row],[Target E_Grid MTD
MWh]]/Modelling_new[[#This Row],[MTD DC Capcity]]/(24*CG487)</f>
        <v>0.13528938171687693</v>
      </c>
      <c r="AS487" s="323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627</v>
      </c>
      <c r="BI487" s="3" t="s">
        <v>627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323">
        <f>BM487/Modelling[[#This Row],[Comisined DC ]]/BP487</f>
        <v>0.72672610563703754</v>
      </c>
      <c r="BT487" s="337">
        <f>BN487/BQ487/Modelling[[#This Row],[Comisined DC ]]</f>
        <v>0.72672610563703743</v>
      </c>
      <c r="BU487" s="337">
        <f>BO487/BR487/Modelling[[#This Row],[Comisined DC ]]</f>
        <v>0.75563783311142685</v>
      </c>
      <c r="BV487" s="323">
        <f>BM487/(24*Modelling[[#This Row],[Comisined DC ]])</f>
        <v>0.13342847584680018</v>
      </c>
      <c r="BW487" s="323">
        <f>Modelling[[#This Row],[Target E_Grid MTD
MWh]]/Modelling[[#This Row],[MTD DC Capcity]]/(24*CG487)</f>
        <v>0.13342847584680015</v>
      </c>
      <c r="BX487" s="338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3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627</v>
      </c>
      <c r="F488" s="3" t="s">
        <v>627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323">
        <f t="shared" si="170"/>
        <v>0.71544785565665769</v>
      </c>
      <c r="Q488" s="337">
        <f t="shared" si="171"/>
        <v>0.71544785565665758</v>
      </c>
      <c r="R488" s="337">
        <f t="shared" si="172"/>
        <v>0.68344767254169148</v>
      </c>
      <c r="S488" s="323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338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627</v>
      </c>
      <c r="AD488" s="3" t="s">
        <v>627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323">
        <f t="shared" si="178"/>
        <v>0.81993801579603653</v>
      </c>
      <c r="AO488" s="323">
        <f t="shared" si="179"/>
        <v>0.81993801579603631</v>
      </c>
      <c r="AP488" s="323">
        <f t="shared" si="180"/>
        <v>0.91258466399266613</v>
      </c>
      <c r="AQ488" s="323">
        <f t="shared" si="181"/>
        <v>0.15054238300771317</v>
      </c>
      <c r="AR488" s="323">
        <f>Modelling_new[[#This Row],[Target E_Grid MTD
MWh]]/Modelling_new[[#This Row],[MTD DC Capcity]]/(24*CG488)</f>
        <v>0.13528938171687693</v>
      </c>
      <c r="AS488" s="323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627</v>
      </c>
      <c r="BI488" s="3" t="s">
        <v>627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323">
        <f>BM488/Modelling[[#This Row],[Comisined DC ]]/BP488</f>
        <v>0.72672610563703754</v>
      </c>
      <c r="BT488" s="337">
        <f>BN488/BQ488/Modelling[[#This Row],[Comisined DC ]]</f>
        <v>0.72672610563703743</v>
      </c>
      <c r="BU488" s="337">
        <f>BO488/BR488/Modelling[[#This Row],[Comisined DC ]]</f>
        <v>0.75543118245772634</v>
      </c>
      <c r="BV488" s="323">
        <f>BM488/(24*Modelling[[#This Row],[Comisined DC ]])</f>
        <v>0.13342847584680018</v>
      </c>
      <c r="BW488" s="323">
        <f>Modelling[[#This Row],[Target E_Grid MTD
MWh]]/Modelling[[#This Row],[MTD DC Capcity]]/(24*CG488)</f>
        <v>0.13342847584680018</v>
      </c>
      <c r="BX488" s="338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3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627</v>
      </c>
      <c r="F489" s="3" t="s">
        <v>627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323">
        <f t="shared" si="170"/>
        <v>0.71544785565665769</v>
      </c>
      <c r="Q489" s="337">
        <f t="shared" si="171"/>
        <v>0.71544785565665769</v>
      </c>
      <c r="R489" s="337">
        <f t="shared" si="172"/>
        <v>0.68367477512035002</v>
      </c>
      <c r="S489" s="323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338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627</v>
      </c>
      <c r="AD489" s="3" t="s">
        <v>627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323">
        <f t="shared" si="178"/>
        <v>0.81993801579603653</v>
      </c>
      <c r="AO489" s="323">
        <f t="shared" si="179"/>
        <v>0.81993801579603631</v>
      </c>
      <c r="AP489" s="323">
        <f t="shared" si="180"/>
        <v>0.91192715860796458</v>
      </c>
      <c r="AQ489" s="323">
        <f t="shared" si="181"/>
        <v>0.15054238300771317</v>
      </c>
      <c r="AR489" s="323">
        <f>Modelling_new[[#This Row],[Target E_Grid MTD
MWh]]/Modelling_new[[#This Row],[MTD DC Capcity]]/(24*CG489)</f>
        <v>0.13528938171687691</v>
      </c>
      <c r="AS489" s="323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627</v>
      </c>
      <c r="BI489" s="3" t="s">
        <v>627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323">
        <f>BM489/Modelling[[#This Row],[Comisined DC ]]/BP489</f>
        <v>0.72672610563703754</v>
      </c>
      <c r="BT489" s="337">
        <f>BN489/BQ489/Modelling[[#This Row],[Comisined DC ]]</f>
        <v>0.72672610563703743</v>
      </c>
      <c r="BU489" s="337">
        <f>BO489/BR489/Modelling[[#This Row],[Comisined DC ]]</f>
        <v>0.75522746496826221</v>
      </c>
      <c r="BV489" s="323">
        <f>BM489/(24*Modelling[[#This Row],[Comisined DC ]])</f>
        <v>0.13342847584680018</v>
      </c>
      <c r="BW489" s="323">
        <f>Modelling[[#This Row],[Target E_Grid MTD
MWh]]/Modelling[[#This Row],[MTD DC Capcity]]/(24*CG489)</f>
        <v>0.13342847584680018</v>
      </c>
      <c r="BX489" s="338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3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627</v>
      </c>
      <c r="F490" s="3" t="s">
        <v>627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323">
        <f t="shared" si="170"/>
        <v>0.71544785565665769</v>
      </c>
      <c r="Q490" s="337">
        <f t="shared" si="171"/>
        <v>0.71544785565665769</v>
      </c>
      <c r="R490" s="337">
        <f t="shared" si="172"/>
        <v>0.68389867695900686</v>
      </c>
      <c r="S490" s="323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338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627</v>
      </c>
      <c r="AD490" s="3" t="s">
        <v>627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323">
        <f t="shared" si="178"/>
        <v>0.81993801579603653</v>
      </c>
      <c r="AO490" s="323">
        <f t="shared" si="179"/>
        <v>0.81993801579603631</v>
      </c>
      <c r="AP490" s="323">
        <f t="shared" si="180"/>
        <v>0.91127891997751376</v>
      </c>
      <c r="AQ490" s="323">
        <f t="shared" si="181"/>
        <v>0.15054238300771317</v>
      </c>
      <c r="AR490" s="323">
        <f>Modelling_new[[#This Row],[Target E_Grid MTD
MWh]]/Modelling_new[[#This Row],[MTD DC Capcity]]/(24*CG490)</f>
        <v>0.13528938171687691</v>
      </c>
      <c r="AS490" s="323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627</v>
      </c>
      <c r="BI490" s="3" t="s">
        <v>627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323">
        <f>BM490/Modelling[[#This Row],[Comisined DC ]]/BP490</f>
        <v>0.72672610563703754</v>
      </c>
      <c r="BT490" s="337">
        <f>BN490/BQ490/Modelling[[#This Row],[Comisined DC ]]</f>
        <v>0.72672610563703743</v>
      </c>
      <c r="BU490" s="337">
        <f>BO490/BR490/Modelling[[#This Row],[Comisined DC ]]</f>
        <v>0.75502661863385712</v>
      </c>
      <c r="BV490" s="323">
        <f>BM490/(24*Modelling[[#This Row],[Comisined DC ]])</f>
        <v>0.13342847584680018</v>
      </c>
      <c r="BW490" s="323">
        <f>Modelling[[#This Row],[Target E_Grid MTD
MWh]]/Modelling[[#This Row],[MTD DC Capcity]]/(24*CG490)</f>
        <v>0.13342847584680018</v>
      </c>
      <c r="BX490" s="338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3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627</v>
      </c>
      <c r="F491" s="3" t="s">
        <v>627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323">
        <f t="shared" si="170"/>
        <v>0.71544785565665769</v>
      </c>
      <c r="Q491" s="337">
        <f t="shared" si="171"/>
        <v>0.71544785565665769</v>
      </c>
      <c r="R491" s="337">
        <f t="shared" si="172"/>
        <v>0.68411944525008306</v>
      </c>
      <c r="S491" s="323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338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627</v>
      </c>
      <c r="AD491" s="3" t="s">
        <v>627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323">
        <f t="shared" si="178"/>
        <v>0.81993801579603653</v>
      </c>
      <c r="AO491" s="323">
        <f t="shared" si="179"/>
        <v>0.81993801579603631</v>
      </c>
      <c r="AP491" s="323">
        <f t="shared" si="180"/>
        <v>0.91063975356640836</v>
      </c>
      <c r="AQ491" s="323">
        <f t="shared" si="181"/>
        <v>0.15054238300771317</v>
      </c>
      <c r="AR491" s="323">
        <f>Modelling_new[[#This Row],[Target E_Grid MTD
MWh]]/Modelling_new[[#This Row],[MTD DC Capcity]]/(24*CG491)</f>
        <v>0.13528938171687691</v>
      </c>
      <c r="AS491" s="323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627</v>
      </c>
      <c r="BI491" s="3" t="s">
        <v>627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323">
        <f>BM491/Modelling[[#This Row],[Comisined DC ]]/BP491</f>
        <v>0.72672610563703754</v>
      </c>
      <c r="BT491" s="337">
        <f>BN491/BQ491/Modelling[[#This Row],[Comisined DC ]]</f>
        <v>0.72672610563703743</v>
      </c>
      <c r="BU491" s="337">
        <f>BO491/BR491/Modelling[[#This Row],[Comisined DC ]]</f>
        <v>0.75482858318099255</v>
      </c>
      <c r="BV491" s="323">
        <f>BM491/(24*Modelling[[#This Row],[Comisined DC ]])</f>
        <v>0.13342847584680018</v>
      </c>
      <c r="BW491" s="323">
        <f>Modelling[[#This Row],[Target E_Grid MTD
MWh]]/Modelling[[#This Row],[MTD DC Capcity]]/(24*CG491)</f>
        <v>0.1334284758468002</v>
      </c>
      <c r="BX491" s="338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3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627</v>
      </c>
      <c r="F492" s="3" t="s">
        <v>627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323">
        <f t="shared" si="170"/>
        <v>0.71544785565665769</v>
      </c>
      <c r="Q492" s="337">
        <f t="shared" si="171"/>
        <v>0.71544785565665769</v>
      </c>
      <c r="R492" s="337">
        <f t="shared" si="172"/>
        <v>0.68433714531832834</v>
      </c>
      <c r="S492" s="323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338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627</v>
      </c>
      <c r="AD492" s="3" t="s">
        <v>627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323">
        <f t="shared" si="178"/>
        <v>0.81993801579603653</v>
      </c>
      <c r="AO492" s="323">
        <f t="shared" si="179"/>
        <v>0.81993801579603631</v>
      </c>
      <c r="AP492" s="323">
        <f t="shared" si="180"/>
        <v>0.91000947024700862</v>
      </c>
      <c r="AQ492" s="323">
        <f t="shared" si="181"/>
        <v>0.15054238300771317</v>
      </c>
      <c r="AR492" s="323">
        <f>Modelling_new[[#This Row],[Target E_Grid MTD
MWh]]/Modelling_new[[#This Row],[MTD DC Capcity]]/(24*CG492)</f>
        <v>0.13528938171687688</v>
      </c>
      <c r="AS492" s="323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627</v>
      </c>
      <c r="BI492" s="3" t="s">
        <v>627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323">
        <f>BM492/Modelling[[#This Row],[Comisined DC ]]/BP492</f>
        <v>0.72672610563703754</v>
      </c>
      <c r="BT492" s="337">
        <f>BN492/BQ492/Modelling[[#This Row],[Comisined DC ]]</f>
        <v>0.72672610563703743</v>
      </c>
      <c r="BU492" s="337">
        <f>BO492/BR492/Modelling[[#This Row],[Comisined DC ]]</f>
        <v>0.75463330001150575</v>
      </c>
      <c r="BV492" s="323">
        <f>BM492/(24*Modelling[[#This Row],[Comisined DC ]])</f>
        <v>0.13342847584680018</v>
      </c>
      <c r="BW492" s="323">
        <f>Modelling[[#This Row],[Target E_Grid MTD
MWh]]/Modelling[[#This Row],[MTD DC Capcity]]/(24*CG492)</f>
        <v>0.1334284758468002</v>
      </c>
      <c r="BX492" s="338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3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627</v>
      </c>
      <c r="F493" s="3" t="s">
        <v>627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323">
        <f t="shared" si="170"/>
        <v>0.71544785565665769</v>
      </c>
      <c r="Q493" s="337">
        <f t="shared" si="171"/>
        <v>0.71544785565665769</v>
      </c>
      <c r="R493" s="337">
        <f t="shared" si="172"/>
        <v>0.68455184068526498</v>
      </c>
      <c r="S493" s="323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338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627</v>
      </c>
      <c r="AD493" s="3" t="s">
        <v>627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323">
        <f t="shared" si="178"/>
        <v>0.81993801579603653</v>
      </c>
      <c r="AO493" s="323">
        <f t="shared" si="179"/>
        <v>0.81993801579603631</v>
      </c>
      <c r="AP493" s="323">
        <f t="shared" si="180"/>
        <v>0.90938788611236288</v>
      </c>
      <c r="AQ493" s="323">
        <f t="shared" si="181"/>
        <v>0.15054238300771317</v>
      </c>
      <c r="AR493" s="323">
        <f>Modelling_new[[#This Row],[Target E_Grid MTD
MWh]]/Modelling_new[[#This Row],[MTD DC Capcity]]/(24*CG493)</f>
        <v>0.13528938171687691</v>
      </c>
      <c r="AS493" s="323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627</v>
      </c>
      <c r="BI493" s="3" t="s">
        <v>627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323">
        <f>BM493/Modelling[[#This Row],[Comisined DC ]]/BP493</f>
        <v>0.72672610563703754</v>
      </c>
      <c r="BT493" s="337">
        <f>BN493/BQ493/Modelling[[#This Row],[Comisined DC ]]</f>
        <v>0.72672610563703743</v>
      </c>
      <c r="BU493" s="337">
        <f>BO493/BR493/Modelling[[#This Row],[Comisined DC ]]</f>
        <v>0.75444071214477959</v>
      </c>
      <c r="BV493" s="323">
        <f>BM493/(24*Modelling[[#This Row],[Comisined DC ]])</f>
        <v>0.13342847584680018</v>
      </c>
      <c r="BW493" s="323">
        <f>Modelling[[#This Row],[Target E_Grid MTD
MWh]]/Modelling[[#This Row],[MTD DC Capcity]]/(24*CG493)</f>
        <v>0.13342847584680018</v>
      </c>
      <c r="BX493" s="338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3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627</v>
      </c>
      <c r="F494" s="3" t="s">
        <v>627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323">
        <f t="shared" si="170"/>
        <v>0.71544785565665769</v>
      </c>
      <c r="Q494" s="337">
        <f t="shared" si="171"/>
        <v>0.71544785565665769</v>
      </c>
      <c r="R494" s="337">
        <f t="shared" si="172"/>
        <v>0.68476359313098178</v>
      </c>
      <c r="S494" s="323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338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627</v>
      </c>
      <c r="AD494" s="3" t="s">
        <v>627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323">
        <f t="shared" si="178"/>
        <v>0.81993801579603653</v>
      </c>
      <c r="AO494" s="323">
        <f t="shared" si="179"/>
        <v>0.81993801579603631</v>
      </c>
      <c r="AP494" s="323">
        <f t="shared" si="180"/>
        <v>0.90877482229730233</v>
      </c>
      <c r="AQ494" s="323">
        <f t="shared" si="181"/>
        <v>0.15054238300771317</v>
      </c>
      <c r="AR494" s="323">
        <f>Modelling_new[[#This Row],[Target E_Grid MTD
MWh]]/Modelling_new[[#This Row],[MTD DC Capcity]]/(24*CG494)</f>
        <v>0.13528938171687691</v>
      </c>
      <c r="AS494" s="323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627</v>
      </c>
      <c r="BI494" s="3" t="s">
        <v>627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323">
        <f>BM494/Modelling[[#This Row],[Comisined DC ]]/BP494</f>
        <v>0.72672610563703754</v>
      </c>
      <c r="BT494" s="337">
        <f>BN494/BQ494/Modelling[[#This Row],[Comisined DC ]]</f>
        <v>0.72672610563703743</v>
      </c>
      <c r="BU494" s="337">
        <f>BO494/BR494/Modelling[[#This Row],[Comisined DC ]]</f>
        <v>0.7542507641623124</v>
      </c>
      <c r="BV494" s="323">
        <f>BM494/(24*Modelling[[#This Row],[Comisined DC ]])</f>
        <v>0.13342847584680018</v>
      </c>
      <c r="BW494" s="323">
        <f>Modelling[[#This Row],[Target E_Grid MTD
MWh]]/Modelling[[#This Row],[MTD DC Capcity]]/(24*CG494)</f>
        <v>0.13342847584680018</v>
      </c>
      <c r="BX494" s="338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3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627</v>
      </c>
      <c r="F495" s="3" t="s">
        <v>627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323">
        <f t="shared" si="170"/>
        <v>0.71544785565665769</v>
      </c>
      <c r="Q495" s="337">
        <f t="shared" si="171"/>
        <v>0.71544785565665769</v>
      </c>
      <c r="R495" s="337">
        <f t="shared" si="172"/>
        <v>0.68497246275340451</v>
      </c>
      <c r="S495" s="323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338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627</v>
      </c>
      <c r="AD495" s="3" t="s">
        <v>627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323">
        <f t="shared" si="178"/>
        <v>0.81993801579603653</v>
      </c>
      <c r="AO495" s="323">
        <f t="shared" si="179"/>
        <v>0.81993801579603631</v>
      </c>
      <c r="AP495" s="323">
        <f t="shared" si="180"/>
        <v>0.90817010480684146</v>
      </c>
      <c r="AQ495" s="323">
        <f t="shared" si="181"/>
        <v>0.15054238300771317</v>
      </c>
      <c r="AR495" s="323">
        <f>Modelling_new[[#This Row],[Target E_Grid MTD
MWh]]/Modelling_new[[#This Row],[MTD DC Capcity]]/(24*CG495)</f>
        <v>0.13528938171687691</v>
      </c>
      <c r="AS495" s="323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627</v>
      </c>
      <c r="BI495" s="3" t="s">
        <v>627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323">
        <f>BM495/Modelling[[#This Row],[Comisined DC ]]/BP495</f>
        <v>0.72672610563703754</v>
      </c>
      <c r="BT495" s="337">
        <f>BN495/BQ495/Modelling[[#This Row],[Comisined DC ]]</f>
        <v>0.72672610563703743</v>
      </c>
      <c r="BU495" s="337">
        <f>BO495/BR495/Modelling[[#This Row],[Comisined DC ]]</f>
        <v>0.75406340215455081</v>
      </c>
      <c r="BV495" s="323">
        <f>BM495/(24*Modelling[[#This Row],[Comisined DC ]])</f>
        <v>0.13342847584680018</v>
      </c>
      <c r="BW495" s="323">
        <f>Modelling[[#This Row],[Target E_Grid MTD
MWh]]/Modelling[[#This Row],[MTD DC Capcity]]/(24*CG495)</f>
        <v>0.1334284758468002</v>
      </c>
      <c r="BX495" s="338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3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627</v>
      </c>
      <c r="F496" s="3" t="s">
        <v>627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323">
        <f t="shared" si="170"/>
        <v>0.71544785565665769</v>
      </c>
      <c r="Q496" s="337">
        <f t="shared" si="171"/>
        <v>0.71544785565665769</v>
      </c>
      <c r="R496" s="337">
        <f t="shared" si="172"/>
        <v>0.68517850802516178</v>
      </c>
      <c r="S496" s="323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338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627</v>
      </c>
      <c r="AD496" s="3" t="s">
        <v>627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323">
        <f t="shared" si="178"/>
        <v>0.81993801579603653</v>
      </c>
      <c r="AO496" s="323">
        <f t="shared" si="179"/>
        <v>0.81993801579603631</v>
      </c>
      <c r="AP496" s="323">
        <f t="shared" si="180"/>
        <v>0.90757356435154168</v>
      </c>
      <c r="AQ496" s="323">
        <f t="shared" si="181"/>
        <v>0.15054238300771317</v>
      </c>
      <c r="AR496" s="323">
        <f>Modelling_new[[#This Row],[Target E_Grid MTD
MWh]]/Modelling_new[[#This Row],[MTD DC Capcity]]/(24*CG496)</f>
        <v>0.13528938171687688</v>
      </c>
      <c r="AS496" s="323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627</v>
      </c>
      <c r="BI496" s="3" t="s">
        <v>627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323">
        <f>BM496/Modelling[[#This Row],[Comisined DC ]]/BP496</f>
        <v>0.72672610563703754</v>
      </c>
      <c r="BT496" s="337">
        <f>BN496/BQ496/Modelling[[#This Row],[Comisined DC ]]</f>
        <v>0.72672610563703743</v>
      </c>
      <c r="BU496" s="337">
        <f>BO496/BR496/Modelling[[#This Row],[Comisined DC ]]</f>
        <v>0.75387857366987976</v>
      </c>
      <c r="BV496" s="323">
        <f>BM496/(24*Modelling[[#This Row],[Comisined DC ]])</f>
        <v>0.13342847584680018</v>
      </c>
      <c r="BW496" s="323">
        <f>Modelling[[#This Row],[Target E_Grid MTD
MWh]]/Modelling[[#This Row],[MTD DC Capcity]]/(24*CG496)</f>
        <v>0.1334284758468002</v>
      </c>
      <c r="BX496" s="338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3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627</v>
      </c>
      <c r="F497" s="3" t="s">
        <v>627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323">
        <f t="shared" si="170"/>
        <v>0.71544785565665769</v>
      </c>
      <c r="Q497" s="337">
        <f t="shared" si="171"/>
        <v>0.71544785565665758</v>
      </c>
      <c r="R497" s="337">
        <f t="shared" si="172"/>
        <v>0.68538178584815934</v>
      </c>
      <c r="S497" s="323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338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627</v>
      </c>
      <c r="AD497" s="3" t="s">
        <v>627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323">
        <f t="shared" si="178"/>
        <v>0.81993801579603653</v>
      </c>
      <c r="AO497" s="323">
        <f t="shared" si="179"/>
        <v>0.81993801579603631</v>
      </c>
      <c r="AP497" s="323">
        <f t="shared" si="180"/>
        <v>0.9069850361895071</v>
      </c>
      <c r="AQ497" s="323">
        <f t="shared" si="181"/>
        <v>0.15054238300771317</v>
      </c>
      <c r="AR497" s="323">
        <f>Modelling_new[[#This Row],[Target E_Grid MTD
MWh]]/Modelling_new[[#This Row],[MTD DC Capcity]]/(24*CG497)</f>
        <v>0.13528938171687688</v>
      </c>
      <c r="AS497" s="323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627</v>
      </c>
      <c r="BI497" s="3" t="s">
        <v>627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323">
        <f>BM497/Modelling[[#This Row],[Comisined DC ]]/BP497</f>
        <v>0.72672610563703754</v>
      </c>
      <c r="BT497" s="337">
        <f>BN497/BQ497/Modelling[[#This Row],[Comisined DC ]]</f>
        <v>0.72672610563703721</v>
      </c>
      <c r="BU497" s="337">
        <f>BO497/BR497/Modelling[[#This Row],[Comisined DC ]]</f>
        <v>0.75369622766566735</v>
      </c>
      <c r="BV497" s="323">
        <f>BM497/(24*Modelling[[#This Row],[Comisined DC ]])</f>
        <v>0.13342847584680018</v>
      </c>
      <c r="BW497" s="323">
        <f>Modelling[[#This Row],[Target E_Grid MTD
MWh]]/Modelling[[#This Row],[MTD DC Capcity]]/(24*CG497)</f>
        <v>0.1334284758468002</v>
      </c>
      <c r="BX497" s="338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3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627</v>
      </c>
      <c r="F498" s="3" t="s">
        <v>627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323">
        <f t="shared" si="170"/>
        <v>0.71544785565665769</v>
      </c>
      <c r="Q498" s="337">
        <f t="shared" si="171"/>
        <v>0.71544785565665758</v>
      </c>
      <c r="R498" s="337">
        <f t="shared" si="172"/>
        <v>0.68558235160597003</v>
      </c>
      <c r="S498" s="323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338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627</v>
      </c>
      <c r="AD498" s="3" t="s">
        <v>627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323">
        <f t="shared" si="178"/>
        <v>0.81993801579603653</v>
      </c>
      <c r="AO498" s="323">
        <f t="shared" si="179"/>
        <v>0.81993801579603631</v>
      </c>
      <c r="AP498" s="323">
        <f t="shared" si="180"/>
        <v>0.90640435997470481</v>
      </c>
      <c r="AQ498" s="323">
        <f t="shared" si="181"/>
        <v>0.15054238300771317</v>
      </c>
      <c r="AR498" s="323">
        <f>Modelling_new[[#This Row],[Target E_Grid MTD
MWh]]/Modelling_new[[#This Row],[MTD DC Capcity]]/(24*CG498)</f>
        <v>0.13528938171687688</v>
      </c>
      <c r="AS498" s="323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627</v>
      </c>
      <c r="BI498" s="3" t="s">
        <v>627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323">
        <f>BM498/Modelling[[#This Row],[Comisined DC ]]/BP498</f>
        <v>0.72672610563703754</v>
      </c>
      <c r="BT498" s="337">
        <f>BN498/BQ498/Modelling[[#This Row],[Comisined DC ]]</f>
        <v>0.72672610563703743</v>
      </c>
      <c r="BU498" s="337">
        <f>BO498/BR498/Modelling[[#This Row],[Comisined DC ]]</f>
        <v>0.75351631446126888</v>
      </c>
      <c r="BV498" s="323">
        <f>BM498/(24*Modelling[[#This Row],[Comisined DC ]])</f>
        <v>0.13342847584680018</v>
      </c>
      <c r="BW498" s="323">
        <f>Modelling[[#This Row],[Target E_Grid MTD
MWh]]/Modelling[[#This Row],[MTD DC Capcity]]/(24*CG498)</f>
        <v>0.1334284758468002</v>
      </c>
      <c r="BX498" s="338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3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627</v>
      </c>
      <c r="F499" s="3" t="s">
        <v>627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323">
        <f t="shared" si="170"/>
        <v>0.71544785565665769</v>
      </c>
      <c r="Q499" s="337">
        <f t="shared" si="171"/>
        <v>0.71544785565665758</v>
      </c>
      <c r="R499" s="337">
        <f t="shared" si="172"/>
        <v>0.68578025921414132</v>
      </c>
      <c r="S499" s="323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338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627</v>
      </c>
      <c r="AD499" s="3" t="s">
        <v>627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323">
        <f t="shared" si="178"/>
        <v>0.81993801579603653</v>
      </c>
      <c r="AO499" s="323">
        <f t="shared" si="179"/>
        <v>0.81993801579603631</v>
      </c>
      <c r="AP499" s="323">
        <f t="shared" si="180"/>
        <v>0.90583137961131688</v>
      </c>
      <c r="AQ499" s="323">
        <f t="shared" si="181"/>
        <v>0.15054238300771317</v>
      </c>
      <c r="AR499" s="323">
        <f>Modelling_new[[#This Row],[Target E_Grid MTD
MWh]]/Modelling_new[[#This Row],[MTD DC Capcity]]/(24*CG499)</f>
        <v>0.13528938171687691</v>
      </c>
      <c r="AS499" s="323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627</v>
      </c>
      <c r="BI499" s="3" t="s">
        <v>627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323">
        <f>BM499/Modelling[[#This Row],[Comisined DC ]]/BP499</f>
        <v>0.72672610563703754</v>
      </c>
      <c r="BT499" s="337">
        <f>BN499/BQ499/Modelling[[#This Row],[Comisined DC ]]</f>
        <v>0.72672610563703743</v>
      </c>
      <c r="BU499" s="337">
        <f>BO499/BR499/Modelling[[#This Row],[Comisined DC ]]</f>
        <v>0.75333878569290047</v>
      </c>
      <c r="BV499" s="323">
        <f>BM499/(24*Modelling[[#This Row],[Comisined DC ]])</f>
        <v>0.13342847584680018</v>
      </c>
      <c r="BW499" s="323">
        <f>Modelling[[#This Row],[Target E_Grid MTD
MWh]]/Modelling[[#This Row],[MTD DC Capcity]]/(24*CG499)</f>
        <v>0.13342847584680023</v>
      </c>
      <c r="BX499" s="338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3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627</v>
      </c>
      <c r="F500" s="3" t="s">
        <v>627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323">
        <f t="shared" si="170"/>
        <v>0.71544785565665769</v>
      </c>
      <c r="Q500" s="337">
        <f t="shared" si="171"/>
        <v>0.71544785565665758</v>
      </c>
      <c r="R500" s="337">
        <f t="shared" si="172"/>
        <v>0.68597556116851566</v>
      </c>
      <c r="S500" s="323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338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627</v>
      </c>
      <c r="AD500" s="3" t="s">
        <v>627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323">
        <f t="shared" si="178"/>
        <v>0.81993801579603653</v>
      </c>
      <c r="AO500" s="323">
        <f t="shared" si="179"/>
        <v>0.81993801579603631</v>
      </c>
      <c r="AP500" s="323">
        <f t="shared" si="180"/>
        <v>0.90526594311384367</v>
      </c>
      <c r="AQ500" s="323">
        <f t="shared" si="181"/>
        <v>0.15054238300771317</v>
      </c>
      <c r="AR500" s="323">
        <f>Modelling_new[[#This Row],[Target E_Grid MTD
MWh]]/Modelling_new[[#This Row],[MTD DC Capcity]]/(24*CG500)</f>
        <v>0.13528938171687691</v>
      </c>
      <c r="AS500" s="323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627</v>
      </c>
      <c r="BI500" s="3" t="s">
        <v>627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323">
        <f>BM500/Modelling[[#This Row],[Comisined DC ]]/BP500</f>
        <v>0.72672610563703754</v>
      </c>
      <c r="BT500" s="337">
        <f>BN500/BQ500/Modelling[[#This Row],[Comisined DC ]]</f>
        <v>0.72672610563703743</v>
      </c>
      <c r="BU500" s="337">
        <f>BO500/BR500/Modelling[[#This Row],[Comisined DC ]]</f>
        <v>0.753163594270295</v>
      </c>
      <c r="BV500" s="323">
        <f>BM500/(24*Modelling[[#This Row],[Comisined DC ]])</f>
        <v>0.13342847584680018</v>
      </c>
      <c r="BW500" s="323">
        <f>Modelling[[#This Row],[Target E_Grid MTD
MWh]]/Modelling[[#This Row],[MTD DC Capcity]]/(24*CG500)</f>
        <v>0.1334284758468002</v>
      </c>
      <c r="BX500" s="338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3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627</v>
      </c>
      <c r="F501" s="3" t="s">
        <v>627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323">
        <f t="shared" si="170"/>
        <v>0.71544785565665769</v>
      </c>
      <c r="Q501" s="337">
        <f t="shared" si="171"/>
        <v>0.71544785565665758</v>
      </c>
      <c r="R501" s="337">
        <f t="shared" si="172"/>
        <v>0.68616830859165345</v>
      </c>
      <c r="S501" s="323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338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627</v>
      </c>
      <c r="AD501" s="3" t="s">
        <v>627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323">
        <f t="shared" si="178"/>
        <v>0.81993801579603653</v>
      </c>
      <c r="AO501" s="323">
        <f t="shared" si="179"/>
        <v>0.81993801579603642</v>
      </c>
      <c r="AP501" s="323">
        <f t="shared" si="180"/>
        <v>0.90470790247269783</v>
      </c>
      <c r="AQ501" s="323">
        <f t="shared" si="181"/>
        <v>0.15054238300771317</v>
      </c>
      <c r="AR501" s="323">
        <f>Modelling_new[[#This Row],[Target E_Grid MTD
MWh]]/Modelling_new[[#This Row],[MTD DC Capcity]]/(24*CG501)</f>
        <v>0.13528938171687691</v>
      </c>
      <c r="AS501" s="323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627</v>
      </c>
      <c r="BI501" s="3" t="s">
        <v>627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323">
        <f>BM501/Modelling[[#This Row],[Comisined DC ]]/BP501</f>
        <v>0.72672610563703754</v>
      </c>
      <c r="BT501" s="337">
        <f>BN501/BQ501/Modelling[[#This Row],[Comisined DC ]]</f>
        <v>0.72672610563703743</v>
      </c>
      <c r="BU501" s="337">
        <f>BO501/BR501/Modelling[[#This Row],[Comisined DC ]]</f>
        <v>0.75299069433505772</v>
      </c>
      <c r="BV501" s="323">
        <f>BM501/(24*Modelling[[#This Row],[Comisined DC ]])</f>
        <v>0.13342847584680018</v>
      </c>
      <c r="BW501" s="323">
        <f>Modelling[[#This Row],[Target E_Grid MTD
MWh]]/Modelling[[#This Row],[MTD DC Capcity]]/(24*CG501)</f>
        <v>0.13342847584680023</v>
      </c>
      <c r="BX501" s="338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3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627</v>
      </c>
      <c r="F502" s="3" t="s">
        <v>627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323">
        <f t="shared" si="170"/>
        <v>0.71544785565665769</v>
      </c>
      <c r="Q502" s="337">
        <f t="shared" si="171"/>
        <v>0.71544785565665758</v>
      </c>
      <c r="R502" s="337">
        <f t="shared" si="172"/>
        <v>0.68635855127744849</v>
      </c>
      <c r="S502" s="323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338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627</v>
      </c>
      <c r="AD502" s="3" t="s">
        <v>627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323">
        <f t="shared" si="178"/>
        <v>0.81993801579603653</v>
      </c>
      <c r="AO502" s="323">
        <f t="shared" si="179"/>
        <v>0.81993801579603642</v>
      </c>
      <c r="AP502" s="323">
        <f t="shared" si="180"/>
        <v>0.90415711352503747</v>
      </c>
      <c r="AQ502" s="323">
        <f t="shared" si="181"/>
        <v>0.15054238300771317</v>
      </c>
      <c r="AR502" s="323">
        <f>Modelling_new[[#This Row],[Target E_Grid MTD
MWh]]/Modelling_new[[#This Row],[MTD DC Capcity]]/(24*CG502)</f>
        <v>0.13528938171687691</v>
      </c>
      <c r="AS502" s="323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627</v>
      </c>
      <c r="BI502" s="3" t="s">
        <v>627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323">
        <f>BM502/Modelling[[#This Row],[Comisined DC ]]/BP502</f>
        <v>0.72672610563703754</v>
      </c>
      <c r="BT502" s="337">
        <f>BN502/BQ502/Modelling[[#This Row],[Comisined DC ]]</f>
        <v>0.72672610563703743</v>
      </c>
      <c r="BU502" s="337">
        <f>BO502/BR502/Modelling[[#This Row],[Comisined DC ]]</f>
        <v>0.75282004122064583</v>
      </c>
      <c r="BV502" s="323">
        <f>BM502/(24*Modelling[[#This Row],[Comisined DC ]])</f>
        <v>0.13342847584680018</v>
      </c>
      <c r="BW502" s="323">
        <f>Modelling[[#This Row],[Target E_Grid MTD
MWh]]/Modelling[[#This Row],[MTD DC Capcity]]/(24*CG502)</f>
        <v>0.13342847584680023</v>
      </c>
      <c r="BX502" s="338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3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627</v>
      </c>
      <c r="F503" s="3" t="s">
        <v>627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323">
        <f t="shared" si="170"/>
        <v>0.71544785565665769</v>
      </c>
      <c r="Q503" s="337">
        <f t="shared" si="171"/>
        <v>0.71544785565665769</v>
      </c>
      <c r="R503" s="337">
        <f t="shared" si="172"/>
        <v>0.68654633773401308</v>
      </c>
      <c r="S503" s="323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338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627</v>
      </c>
      <c r="AD503" s="3" t="s">
        <v>627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323">
        <f t="shared" si="178"/>
        <v>0.81993801579603653</v>
      </c>
      <c r="AO503" s="323">
        <f t="shared" si="179"/>
        <v>0.81993801579603665</v>
      </c>
      <c r="AP503" s="323">
        <f t="shared" si="180"/>
        <v>0.90361343583060261</v>
      </c>
      <c r="AQ503" s="323">
        <f t="shared" si="181"/>
        <v>0.15054238300771317</v>
      </c>
      <c r="AR503" s="323">
        <f>Modelling_new[[#This Row],[Target E_Grid MTD
MWh]]/Modelling_new[[#This Row],[MTD DC Capcity]]/(24*CG503)</f>
        <v>0.13528938171687691</v>
      </c>
      <c r="AS503" s="323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627</v>
      </c>
      <c r="BI503" s="3" t="s">
        <v>627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323">
        <f>BM503/Modelling[[#This Row],[Comisined DC ]]/BP503</f>
        <v>0.72672610563703754</v>
      </c>
      <c r="BT503" s="337">
        <f>BN503/BQ503/Modelling[[#This Row],[Comisined DC ]]</f>
        <v>0.72672610563703754</v>
      </c>
      <c r="BU503" s="337">
        <f>BO503/BR503/Modelling[[#This Row],[Comisined DC ]]</f>
        <v>0.75265159141389915</v>
      </c>
      <c r="BV503" s="323">
        <f>BM503/(24*Modelling[[#This Row],[Comisined DC ]])</f>
        <v>0.13342847584680018</v>
      </c>
      <c r="BW503" s="323">
        <f>Modelling[[#This Row],[Target E_Grid MTD
MWh]]/Modelling[[#This Row],[MTD DC Capcity]]/(24*CG503)</f>
        <v>0.13342847584680026</v>
      </c>
      <c r="BX503" s="338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3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627</v>
      </c>
      <c r="F504" s="3" t="s">
        <v>627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323">
        <f t="shared" si="170"/>
        <v>0.71544785565665769</v>
      </c>
      <c r="Q504" s="337">
        <f t="shared" si="171"/>
        <v>0.71544785565665769</v>
      </c>
      <c r="R504" s="337">
        <f t="shared" si="172"/>
        <v>0.68673171522491472</v>
      </c>
      <c r="S504" s="323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338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627</v>
      </c>
      <c r="AD504" s="3" t="s">
        <v>627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323">
        <f t="shared" si="178"/>
        <v>0.81993801579603653</v>
      </c>
      <c r="AO504" s="323">
        <f t="shared" si="179"/>
        <v>0.81993801579603665</v>
      </c>
      <c r="AP504" s="323">
        <f t="shared" si="180"/>
        <v>0.90307673255232979</v>
      </c>
      <c r="AQ504" s="323">
        <f t="shared" si="181"/>
        <v>0.15054238300771317</v>
      </c>
      <c r="AR504" s="323">
        <f>Modelling_new[[#This Row],[Target E_Grid MTD
MWh]]/Modelling_new[[#This Row],[MTD DC Capcity]]/(24*CG504)</f>
        <v>0.13528938171687693</v>
      </c>
      <c r="AS504" s="323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627</v>
      </c>
      <c r="BI504" s="3" t="s">
        <v>627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323">
        <f>BM504/Modelling[[#This Row],[Comisined DC ]]/BP504</f>
        <v>0.72672610563703754</v>
      </c>
      <c r="BT504" s="337">
        <f>BN504/BQ504/Modelling[[#This Row],[Comisined DC ]]</f>
        <v>0.72672610563703766</v>
      </c>
      <c r="BU504" s="337">
        <f>BO504/BR504/Modelling[[#This Row],[Comisined DC ]]</f>
        <v>0.7524853025180499</v>
      </c>
      <c r="BV504" s="323">
        <f>BM504/(24*Modelling[[#This Row],[Comisined DC ]])</f>
        <v>0.13342847584680018</v>
      </c>
      <c r="BW504" s="323">
        <f>Modelling[[#This Row],[Target E_Grid MTD
MWh]]/Modelling[[#This Row],[MTD DC Capcity]]/(24*CG504)</f>
        <v>0.13342847584680026</v>
      </c>
      <c r="BX504" s="338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3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627</v>
      </c>
      <c r="F505" s="3" t="s">
        <v>627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323">
        <f t="shared" si="170"/>
        <v>0.71544785565665769</v>
      </c>
      <c r="Q505" s="337">
        <f t="shared" si="171"/>
        <v>0.71544785565665769</v>
      </c>
      <c r="R505" s="337">
        <f t="shared" si="172"/>
        <v>0.68691472980883406</v>
      </c>
      <c r="S505" s="323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338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627</v>
      </c>
      <c r="AD505" s="3" t="s">
        <v>627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323">
        <f t="shared" si="178"/>
        <v>0.81993801579603653</v>
      </c>
      <c r="AO505" s="323">
        <f t="shared" si="179"/>
        <v>0.81993801579603676</v>
      </c>
      <c r="AP505" s="323">
        <f t="shared" si="180"/>
        <v>0.90254687034153214</v>
      </c>
      <c r="AQ505" s="323">
        <f t="shared" si="181"/>
        <v>0.15054238300771317</v>
      </c>
      <c r="AR505" s="323">
        <f>Modelling_new[[#This Row],[Target E_Grid MTD
MWh]]/Modelling_new[[#This Row],[MTD DC Capcity]]/(24*CG505)</f>
        <v>0.13528938171687693</v>
      </c>
      <c r="AS505" s="323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627</v>
      </c>
      <c r="BI505" s="3" t="s">
        <v>627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323">
        <f>BM505/Modelling[[#This Row],[Comisined DC ]]/BP505</f>
        <v>0.72672610563703754</v>
      </c>
      <c r="BT505" s="337">
        <f>BN505/BQ505/Modelling[[#This Row],[Comisined DC ]]</f>
        <v>0.72672610563703754</v>
      </c>
      <c r="BU505" s="337">
        <f>BO505/BR505/Modelling[[#This Row],[Comisined DC ]]</f>
        <v>0.75232113321714833</v>
      </c>
      <c r="BV505" s="323">
        <f>BM505/(24*Modelling[[#This Row],[Comisined DC ]])</f>
        <v>0.13342847584680018</v>
      </c>
      <c r="BW505" s="323">
        <f>Modelling[[#This Row],[Target E_Grid MTD
MWh]]/Modelling[[#This Row],[MTD DC Capcity]]/(24*CG505)</f>
        <v>0.13342847584680029</v>
      </c>
      <c r="BX505" s="338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3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627</v>
      </c>
      <c r="F506" s="3" t="s">
        <v>627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323">
        <f t="shared" si="170"/>
        <v>0.71360375310159307</v>
      </c>
      <c r="Q506" s="337">
        <f t="shared" si="171"/>
        <v>0.71360375310159307</v>
      </c>
      <c r="R506" s="337">
        <f t="shared" si="172"/>
        <v>0.68707489266403299</v>
      </c>
      <c r="S506" s="323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338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627</v>
      </c>
      <c r="AD506" s="3" t="s">
        <v>627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323">
        <f t="shared" si="178"/>
        <v>0.91932739669119101</v>
      </c>
      <c r="AO506" s="323">
        <f t="shared" si="179"/>
        <v>0.91932739669119101</v>
      </c>
      <c r="AP506" s="323">
        <f t="shared" si="180"/>
        <v>0.90264757155425257</v>
      </c>
      <c r="AQ506" s="323">
        <f t="shared" si="181"/>
        <v>0.15989377033849483</v>
      </c>
      <c r="AR506" s="323">
        <f>Modelling_new[[#This Row],[Target E_Grid MTD
MWh]]/Modelling_new[[#This Row],[MTD DC Capcity]]/(24*CG506)</f>
        <v>0.14369328356099528</v>
      </c>
      <c r="AS506" s="323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627</v>
      </c>
      <c r="BI506" s="3" t="s">
        <v>627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323">
        <f>BM506/Modelling[[#This Row],[Comisined DC ]]/BP506</f>
        <v>0.77289606302000058</v>
      </c>
      <c r="BT506" s="337">
        <f>BN506/BQ506/Modelling[[#This Row],[Comisined DC ]]</f>
        <v>0.77289606302000069</v>
      </c>
      <c r="BU506" s="337">
        <f>BO506/BR506/Modelling[[#This Row],[Comisined DC ]]</f>
        <v>0.75244460493308918</v>
      </c>
      <c r="BV506" s="323">
        <f>BM506/(24*Modelling[[#This Row],[Comisined DC ]])</f>
        <v>0.13442573999299476</v>
      </c>
      <c r="BW506" s="323">
        <f>Modelling[[#This Row],[Target E_Grid MTD
MWh]]/Modelling[[#This Row],[MTD DC Capcity]]/(24*CG506)</f>
        <v>0.13442573999299476</v>
      </c>
      <c r="BX506" s="338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3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627</v>
      </c>
      <c r="F507" s="3" t="s">
        <v>627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323">
        <f t="shared" si="170"/>
        <v>0.71360375310159307</v>
      </c>
      <c r="Q507" s="337">
        <f t="shared" si="171"/>
        <v>0.71360375310159307</v>
      </c>
      <c r="R507" s="337">
        <f t="shared" si="172"/>
        <v>0.68723314468736951</v>
      </c>
      <c r="S507" s="323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338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627</v>
      </c>
      <c r="AD507" s="3" t="s">
        <v>627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323">
        <f t="shared" si="178"/>
        <v>0.91932739669119101</v>
      </c>
      <c r="AO507" s="323">
        <f t="shared" si="179"/>
        <v>0.91932739669119101</v>
      </c>
      <c r="AP507" s="323">
        <f t="shared" si="180"/>
        <v>0.90274707134554721</v>
      </c>
      <c r="AQ507" s="323">
        <f t="shared" si="181"/>
        <v>0.15989377033849483</v>
      </c>
      <c r="AR507" s="323">
        <f>Modelling_new[[#This Row],[Target E_Grid MTD
MWh]]/Modelling_new[[#This Row],[MTD DC Capcity]]/(24*CG507)</f>
        <v>0.14369328356099528</v>
      </c>
      <c r="AS507" s="323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627</v>
      </c>
      <c r="BI507" s="3" t="s">
        <v>627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323">
        <f>BM507/Modelling[[#This Row],[Comisined DC ]]/BP507</f>
        <v>0.77289606302000058</v>
      </c>
      <c r="BT507" s="337">
        <f>BN507/BQ507/Modelling[[#This Row],[Comisined DC ]]</f>
        <v>0.77289606302000069</v>
      </c>
      <c r="BU507" s="337">
        <f>BO507/BR507/Modelling[[#This Row],[Comisined DC ]]</f>
        <v>0.75256660356284766</v>
      </c>
      <c r="BV507" s="323">
        <f>BM507/(24*Modelling[[#This Row],[Comisined DC ]])</f>
        <v>0.13442573999299476</v>
      </c>
      <c r="BW507" s="323">
        <f>Modelling[[#This Row],[Target E_Grid MTD
MWh]]/Modelling[[#This Row],[MTD DC Capcity]]/(24*CG507)</f>
        <v>0.13442573999299476</v>
      </c>
      <c r="BX507" s="338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3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627</v>
      </c>
      <c r="F508" s="3" t="s">
        <v>627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323">
        <f t="shared" si="170"/>
        <v>0.71360375310159307</v>
      </c>
      <c r="Q508" s="337">
        <f t="shared" si="171"/>
        <v>0.71360375310159307</v>
      </c>
      <c r="R508" s="337">
        <f t="shared" si="172"/>
        <v>0.68738951987199404</v>
      </c>
      <c r="S508" s="323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338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627</v>
      </c>
      <c r="AD508" s="3" t="s">
        <v>627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323">
        <f t="shared" si="178"/>
        <v>0.91932739669119101</v>
      </c>
      <c r="AO508" s="323">
        <f t="shared" si="179"/>
        <v>0.91932739669119112</v>
      </c>
      <c r="AP508" s="323">
        <f t="shared" si="180"/>
        <v>0.90284539108835848</v>
      </c>
      <c r="AQ508" s="323">
        <f t="shared" si="181"/>
        <v>0.15989377033849483</v>
      </c>
      <c r="AR508" s="323">
        <f>Modelling_new[[#This Row],[Target E_Grid MTD
MWh]]/Modelling_new[[#This Row],[MTD DC Capcity]]/(24*CG508)</f>
        <v>0.14369328356099526</v>
      </c>
      <c r="AS508" s="323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627</v>
      </c>
      <c r="BI508" s="3" t="s">
        <v>627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323">
        <f>BM508/Modelling[[#This Row],[Comisined DC ]]/BP508</f>
        <v>0.77289606302000058</v>
      </c>
      <c r="BT508" s="337">
        <f>BN508/BQ508/Modelling[[#This Row],[Comisined DC ]]</f>
        <v>0.77289606302000069</v>
      </c>
      <c r="BU508" s="337">
        <f>BO508/BR508/Modelling[[#This Row],[Comisined DC ]]</f>
        <v>0.7526871553122042</v>
      </c>
      <c r="BV508" s="323">
        <f>BM508/(24*Modelling[[#This Row],[Comisined DC ]])</f>
        <v>0.13442573999299476</v>
      </c>
      <c r="BW508" s="323">
        <f>Modelling[[#This Row],[Target E_Grid MTD
MWh]]/Modelling[[#This Row],[MTD DC Capcity]]/(24*CG508)</f>
        <v>0.13442573999299476</v>
      </c>
      <c r="BX508" s="338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3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627</v>
      </c>
      <c r="F509" s="3" t="s">
        <v>627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323">
        <f t="shared" si="170"/>
        <v>0.71360375310159307</v>
      </c>
      <c r="Q509" s="337">
        <f t="shared" si="171"/>
        <v>0.71360375310159307</v>
      </c>
      <c r="R509" s="337">
        <f t="shared" si="172"/>
        <v>0.68754405140950525</v>
      </c>
      <c r="S509" s="323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338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627</v>
      </c>
      <c r="AD509" s="3" t="s">
        <v>627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323">
        <f t="shared" si="178"/>
        <v>0.91932739669119101</v>
      </c>
      <c r="AO509" s="323">
        <f t="shared" si="179"/>
        <v>0.91932739669119101</v>
      </c>
      <c r="AP509" s="323">
        <f t="shared" si="180"/>
        <v>0.90294255165165882</v>
      </c>
      <c r="AQ509" s="323">
        <f t="shared" si="181"/>
        <v>0.15989377033849483</v>
      </c>
      <c r="AR509" s="323">
        <f>Modelling_new[[#This Row],[Target E_Grid MTD
MWh]]/Modelling_new[[#This Row],[MTD DC Capcity]]/(24*CG509)</f>
        <v>0.14369328356099528</v>
      </c>
      <c r="AS509" s="323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627</v>
      </c>
      <c r="BI509" s="3" t="s">
        <v>627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323">
        <f>BM509/Modelling[[#This Row],[Comisined DC ]]/BP509</f>
        <v>0.77289606302000058</v>
      </c>
      <c r="BT509" s="337">
        <f>BN509/BQ509/Modelling[[#This Row],[Comisined DC ]]</f>
        <v>0.77289606302000069</v>
      </c>
      <c r="BU509" s="337">
        <f>BO509/BR509/Modelling[[#This Row],[Comisined DC ]]</f>
        <v>0.75280628576901198</v>
      </c>
      <c r="BV509" s="323">
        <f>BM509/(24*Modelling[[#This Row],[Comisined DC ]])</f>
        <v>0.13442573999299476</v>
      </c>
      <c r="BW509" s="323">
        <f>Modelling[[#This Row],[Target E_Grid MTD
MWh]]/Modelling[[#This Row],[MTD DC Capcity]]/(24*CG509)</f>
        <v>0.13442573999299476</v>
      </c>
      <c r="BX509" s="338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3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627</v>
      </c>
      <c r="F510" s="3" t="s">
        <v>627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323">
        <f t="shared" si="170"/>
        <v>0.71360375310159307</v>
      </c>
      <c r="Q510" s="337">
        <f t="shared" si="171"/>
        <v>0.71360375310159296</v>
      </c>
      <c r="R510" s="337">
        <f t="shared" si="172"/>
        <v>0.68769677171343802</v>
      </c>
      <c r="S510" s="323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338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627</v>
      </c>
      <c r="AD510" s="3" t="s">
        <v>627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323">
        <f t="shared" si="178"/>
        <v>0.91932739669119101</v>
      </c>
      <c r="AO510" s="323">
        <f t="shared" si="179"/>
        <v>0.91932739669119101</v>
      </c>
      <c r="AP510" s="323">
        <f t="shared" si="180"/>
        <v>0.9030385734152192</v>
      </c>
      <c r="AQ510" s="323">
        <f t="shared" si="181"/>
        <v>0.15989377033849483</v>
      </c>
      <c r="AR510" s="323">
        <f>Modelling_new[[#This Row],[Target E_Grid MTD
MWh]]/Modelling_new[[#This Row],[MTD DC Capcity]]/(24*CG510)</f>
        <v>0.14369328356099528</v>
      </c>
      <c r="AS510" s="323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627</v>
      </c>
      <c r="BI510" s="3" t="s">
        <v>627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323">
        <f>BM510/Modelling[[#This Row],[Comisined DC ]]/BP510</f>
        <v>0.77289606302000058</v>
      </c>
      <c r="BT510" s="337">
        <f>BN510/BQ510/Modelling[[#This Row],[Comisined DC ]]</f>
        <v>0.77289606302000047</v>
      </c>
      <c r="BU510" s="337">
        <f>BO510/BR510/Modelling[[#This Row],[Comisined DC ]]</f>
        <v>0.75292401992130442</v>
      </c>
      <c r="BV510" s="323">
        <f>BM510/(24*Modelling[[#This Row],[Comisined DC ]])</f>
        <v>0.13442573999299476</v>
      </c>
      <c r="BW510" s="323">
        <f>Modelling[[#This Row],[Target E_Grid MTD
MWh]]/Modelling[[#This Row],[MTD DC Capcity]]/(24*CG510)</f>
        <v>0.13442573999299473</v>
      </c>
      <c r="BX510" s="338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3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627</v>
      </c>
      <c r="F511" s="3" t="s">
        <v>627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323">
        <f t="shared" si="170"/>
        <v>0.71360375310159307</v>
      </c>
      <c r="Q511" s="337">
        <f t="shared" si="171"/>
        <v>0.71360375310159296</v>
      </c>
      <c r="R511" s="337">
        <f t="shared" si="172"/>
        <v>0.68784771244192855</v>
      </c>
      <c r="S511" s="323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338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627</v>
      </c>
      <c r="AD511" s="3" t="s">
        <v>627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323">
        <f t="shared" si="178"/>
        <v>0.91932739669119101</v>
      </c>
      <c r="AO511" s="323">
        <f t="shared" si="179"/>
        <v>0.91932739669119101</v>
      </c>
      <c r="AP511" s="323">
        <f t="shared" si="180"/>
        <v>0.90313347628385898</v>
      </c>
      <c r="AQ511" s="323">
        <f t="shared" si="181"/>
        <v>0.15989377033849483</v>
      </c>
      <c r="AR511" s="323">
        <f>Modelling_new[[#This Row],[Target E_Grid MTD
MWh]]/Modelling_new[[#This Row],[MTD DC Capcity]]/(24*CG511)</f>
        <v>0.14369328356099531</v>
      </c>
      <c r="AS511" s="323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627</v>
      </c>
      <c r="BI511" s="3" t="s">
        <v>627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323">
        <f>BM511/Modelling[[#This Row],[Comisined DC ]]/BP511</f>
        <v>0.77289606302000058</v>
      </c>
      <c r="BT511" s="337">
        <f>BN511/BQ511/Modelling[[#This Row],[Comisined DC ]]</f>
        <v>0.77289606302000047</v>
      </c>
      <c r="BU511" s="337">
        <f>BO511/BR511/Modelling[[#This Row],[Comisined DC ]]</f>
        <v>0.75304038217476787</v>
      </c>
      <c r="BV511" s="323">
        <f>BM511/(24*Modelling[[#This Row],[Comisined DC ]])</f>
        <v>0.13442573999299476</v>
      </c>
      <c r="BW511" s="323">
        <f>Modelling[[#This Row],[Target E_Grid MTD
MWh]]/Modelling[[#This Row],[MTD DC Capcity]]/(24*CG511)</f>
        <v>0.13442573999299473</v>
      </c>
      <c r="BX511" s="338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3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627</v>
      </c>
      <c r="F512" s="3" t="s">
        <v>627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323">
        <f t="shared" ref="P512:P575" si="195">J512/$Q$1/M512</f>
        <v>0.71360375310159307</v>
      </c>
      <c r="Q512" s="337">
        <f t="shared" ref="Q512:Q575" si="196">K512/N512/$Q$1</f>
        <v>0.71360375310159296</v>
      </c>
      <c r="R512" s="337">
        <f t="shared" ref="R512:R575" si="197">L512/O512/$Q$1</f>
        <v>0.68799690451959283</v>
      </c>
      <c r="S512" s="323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338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627</v>
      </c>
      <c r="AD512" s="3" t="s">
        <v>627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323">
        <f t="shared" ref="AN512:AN575" si="203">AH512/$Q$1/AK512</f>
        <v>0.91932739669119101</v>
      </c>
      <c r="AO512" s="323">
        <f t="shared" ref="AO512:AO575" si="204">AI512/AL512/$Q$1</f>
        <v>0.91932739669119112</v>
      </c>
      <c r="AP512" s="323">
        <f t="shared" ref="AP512:AP575" si="205">AJ512/AM512/$Q$1</f>
        <v>0.90322727970120209</v>
      </c>
      <c r="AQ512" s="323">
        <f t="shared" ref="AQ512:AQ575" si="206">AH512/(24*$Q$1)</f>
        <v>0.15989377033849483</v>
      </c>
      <c r="AR512" s="323">
        <f>Modelling_new[[#This Row],[Target E_Grid MTD
MWh]]/Modelling_new[[#This Row],[MTD DC Capcity]]/(24*CG512)</f>
        <v>0.14369328356099531</v>
      </c>
      <c r="AS512" s="323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627</v>
      </c>
      <c r="BI512" s="3" t="s">
        <v>627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323">
        <f>BM512/Modelling[[#This Row],[Comisined DC ]]/BP512</f>
        <v>0.77289606302000058</v>
      </c>
      <c r="BT512" s="337">
        <f>BN512/BQ512/Modelling[[#This Row],[Comisined DC ]]</f>
        <v>0.77289606302000036</v>
      </c>
      <c r="BU512" s="337">
        <f>BO512/BR512/Modelling[[#This Row],[Comisined DC ]]</f>
        <v>0.75315539636960815</v>
      </c>
      <c r="BV512" s="323">
        <f>BM512/(24*Modelling[[#This Row],[Comisined DC ]])</f>
        <v>0.13442573999299476</v>
      </c>
      <c r="BW512" s="323">
        <f>Modelling[[#This Row],[Target E_Grid MTD
MWh]]/Modelling[[#This Row],[MTD DC Capcity]]/(24*CG512)</f>
        <v>0.13442573999299473</v>
      </c>
      <c r="BX512" s="338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3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627</v>
      </c>
      <c r="F513" s="3" t="s">
        <v>627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323">
        <f t="shared" si="195"/>
        <v>0.71360375310159307</v>
      </c>
      <c r="Q513" s="337">
        <f t="shared" si="196"/>
        <v>0.71360375310159296</v>
      </c>
      <c r="R513" s="337">
        <f t="shared" si="197"/>
        <v>0.68814437815864971</v>
      </c>
      <c r="S513" s="323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338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627</v>
      </c>
      <c r="AD513" s="3" t="s">
        <v>627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323">
        <f t="shared" si="203"/>
        <v>0.91932739669119101</v>
      </c>
      <c r="AO513" s="323">
        <f t="shared" si="204"/>
        <v>0.91932739669119112</v>
      </c>
      <c r="AP513" s="323">
        <f t="shared" si="205"/>
        <v>0.90332000266295787</v>
      </c>
      <c r="AQ513" s="323">
        <f t="shared" si="206"/>
        <v>0.15989377033849483</v>
      </c>
      <c r="AR513" s="323">
        <f>Modelling_new[[#This Row],[Target E_Grid MTD
MWh]]/Modelling_new[[#This Row],[MTD DC Capcity]]/(24*CG513)</f>
        <v>0.14369328356099531</v>
      </c>
      <c r="AS513" s="323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627</v>
      </c>
      <c r="BI513" s="3" t="s">
        <v>627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323">
        <f>BM513/Modelling[[#This Row],[Comisined DC ]]/BP513</f>
        <v>0.77289606302000058</v>
      </c>
      <c r="BT513" s="337">
        <f>BN513/BQ513/Modelling[[#This Row],[Comisined DC ]]</f>
        <v>0.77289606302000069</v>
      </c>
      <c r="BU513" s="337">
        <f>BO513/BR513/Modelling[[#This Row],[Comisined DC ]]</f>
        <v>0.75326908579683383</v>
      </c>
      <c r="BV513" s="323">
        <f>BM513/(24*Modelling[[#This Row],[Comisined DC ]])</f>
        <v>0.13442573999299476</v>
      </c>
      <c r="BW513" s="323">
        <f>Modelling[[#This Row],[Target E_Grid MTD
MWh]]/Modelling[[#This Row],[MTD DC Capcity]]/(24*CG513)</f>
        <v>0.13442573999299476</v>
      </c>
      <c r="BX513" s="338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3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627</v>
      </c>
      <c r="F514" s="3" t="s">
        <v>627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323">
        <f t="shared" si="195"/>
        <v>0.71360375310159307</v>
      </c>
      <c r="Q514" s="337">
        <f t="shared" si="196"/>
        <v>0.71360375310159296</v>
      </c>
      <c r="R514" s="337">
        <f t="shared" si="197"/>
        <v>0.68829016287931599</v>
      </c>
      <c r="S514" s="323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338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627</v>
      </c>
      <c r="AD514" s="3" t="s">
        <v>627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323">
        <f t="shared" si="203"/>
        <v>0.91932739669119101</v>
      </c>
      <c r="AO514" s="323">
        <f t="shared" si="204"/>
        <v>0.91932739669119123</v>
      </c>
      <c r="AP514" s="323">
        <f t="shared" si="205"/>
        <v>0.90341166372974491</v>
      </c>
      <c r="AQ514" s="323">
        <f t="shared" si="206"/>
        <v>0.15989377033849483</v>
      </c>
      <c r="AR514" s="323">
        <f>Modelling_new[[#This Row],[Target E_Grid MTD
MWh]]/Modelling_new[[#This Row],[MTD DC Capcity]]/(24*CG514)</f>
        <v>0.14369328356099531</v>
      </c>
      <c r="AS514" s="323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627</v>
      </c>
      <c r="BI514" s="3" t="s">
        <v>627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323">
        <f>BM514/Modelling[[#This Row],[Comisined DC ]]/BP514</f>
        <v>0.77289606302000058</v>
      </c>
      <c r="BT514" s="337">
        <f>BN514/BQ514/Modelling[[#This Row],[Comisined DC ]]</f>
        <v>0.77289606302000047</v>
      </c>
      <c r="BU514" s="337">
        <f>BO514/BR514/Modelling[[#This Row],[Comisined DC ]]</f>
        <v>0.75338147321398041</v>
      </c>
      <c r="BV514" s="323">
        <f>BM514/(24*Modelling[[#This Row],[Comisined DC ]])</f>
        <v>0.13442573999299476</v>
      </c>
      <c r="BW514" s="323">
        <f>Modelling[[#This Row],[Target E_Grid MTD
MWh]]/Modelling[[#This Row],[MTD DC Capcity]]/(24*CG514)</f>
        <v>0.13442573999299473</v>
      </c>
      <c r="BX514" s="338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3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627</v>
      </c>
      <c r="F515" s="3" t="s">
        <v>627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323">
        <f t="shared" si="195"/>
        <v>0.71360375310159307</v>
      </c>
      <c r="Q515" s="337">
        <f t="shared" si="196"/>
        <v>0.71360375310159307</v>
      </c>
      <c r="R515" s="337">
        <f t="shared" si="197"/>
        <v>0.68843428752950753</v>
      </c>
      <c r="S515" s="323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338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627</v>
      </c>
      <c r="AD515" s="3" t="s">
        <v>627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323">
        <f t="shared" si="203"/>
        <v>0.91932739669119101</v>
      </c>
      <c r="AO515" s="323">
        <f t="shared" si="204"/>
        <v>0.91932739669119123</v>
      </c>
      <c r="AP515" s="323">
        <f t="shared" si="205"/>
        <v>0.90350228103947738</v>
      </c>
      <c r="AQ515" s="323">
        <f t="shared" si="206"/>
        <v>0.15989377033849483</v>
      </c>
      <c r="AR515" s="323">
        <f>Modelling_new[[#This Row],[Target E_Grid MTD
MWh]]/Modelling_new[[#This Row],[MTD DC Capcity]]/(24*CG515)</f>
        <v>0.14369328356099534</v>
      </c>
      <c r="AS515" s="323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627</v>
      </c>
      <c r="BI515" s="3" t="s">
        <v>627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323">
        <f>BM515/Modelling[[#This Row],[Comisined DC ]]/BP515</f>
        <v>0.77289606302000058</v>
      </c>
      <c r="BT515" s="337">
        <f>BN515/BQ515/Modelling[[#This Row],[Comisined DC ]]</f>
        <v>0.77289606302000069</v>
      </c>
      <c r="BU515" s="337">
        <f>BO515/BR515/Modelling[[#This Row],[Comisined DC ]]</f>
        <v>0.75349258086029725</v>
      </c>
      <c r="BV515" s="323">
        <f>BM515/(24*Modelling[[#This Row],[Comisined DC ]])</f>
        <v>0.13442573999299476</v>
      </c>
      <c r="BW515" s="323">
        <f>Modelling[[#This Row],[Target E_Grid MTD
MWh]]/Modelling[[#This Row],[MTD DC Capcity]]/(24*CG515)</f>
        <v>0.13442573999299473</v>
      </c>
      <c r="BX515" s="338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3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627</v>
      </c>
      <c r="F516" s="3" t="s">
        <v>627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323">
        <f t="shared" si="195"/>
        <v>0.71360375310159307</v>
      </c>
      <c r="Q516" s="337">
        <f t="shared" si="196"/>
        <v>0.71360375310159307</v>
      </c>
      <c r="R516" s="337">
        <f t="shared" si="197"/>
        <v>0.68857678030386904</v>
      </c>
      <c r="S516" s="323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338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627</v>
      </c>
      <c r="AD516" s="3" t="s">
        <v>627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323">
        <f t="shared" si="203"/>
        <v>0.91932739669119101</v>
      </c>
      <c r="AO516" s="323">
        <f t="shared" si="204"/>
        <v>0.91932739669119146</v>
      </c>
      <c r="AP516" s="323">
        <f t="shared" si="205"/>
        <v>0.90359187231933003</v>
      </c>
      <c r="AQ516" s="323">
        <f t="shared" si="206"/>
        <v>0.15989377033849483</v>
      </c>
      <c r="AR516" s="323">
        <f>Modelling_new[[#This Row],[Target E_Grid MTD
MWh]]/Modelling_new[[#This Row],[MTD DC Capcity]]/(24*CG516)</f>
        <v>0.14369328356099534</v>
      </c>
      <c r="AS516" s="323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627</v>
      </c>
      <c r="BI516" s="3" t="s">
        <v>627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323">
        <f>BM516/Modelling[[#This Row],[Comisined DC ]]/BP516</f>
        <v>0.77289606302000058</v>
      </c>
      <c r="BT516" s="337">
        <f>BN516/BQ516/Modelling[[#This Row],[Comisined DC ]]</f>
        <v>0.77289606302000069</v>
      </c>
      <c r="BU516" s="337">
        <f>BO516/BR516/Modelling[[#This Row],[Comisined DC ]]</f>
        <v>0.75360243047141795</v>
      </c>
      <c r="BV516" s="323">
        <f>BM516/(24*Modelling[[#This Row],[Comisined DC ]])</f>
        <v>0.13442573999299476</v>
      </c>
      <c r="BW516" s="323">
        <f>Modelling[[#This Row],[Target E_Grid MTD
MWh]]/Modelling[[#This Row],[MTD DC Capcity]]/(24*CG516)</f>
        <v>0.1344257399929947</v>
      </c>
      <c r="BX516" s="338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3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627</v>
      </c>
      <c r="F517" s="3" t="s">
        <v>627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323">
        <f t="shared" si="195"/>
        <v>0.71360375310159307</v>
      </c>
      <c r="Q517" s="337">
        <f t="shared" si="196"/>
        <v>0.71360375310159307</v>
      </c>
      <c r="R517" s="337">
        <f t="shared" si="197"/>
        <v>0.68871766876216256</v>
      </c>
      <c r="S517" s="323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338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627</v>
      </c>
      <c r="AD517" s="3" t="s">
        <v>627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323">
        <f t="shared" si="203"/>
        <v>0.91932739669119101</v>
      </c>
      <c r="AO517" s="323">
        <f t="shared" si="204"/>
        <v>0.91932739669119146</v>
      </c>
      <c r="AP517" s="323">
        <f t="shared" si="205"/>
        <v>0.90368045489729942</v>
      </c>
      <c r="AQ517" s="323">
        <f t="shared" si="206"/>
        <v>0.15989377033849483</v>
      </c>
      <c r="AR517" s="323">
        <f>Modelling_new[[#This Row],[Target E_Grid MTD
MWh]]/Modelling_new[[#This Row],[MTD DC Capcity]]/(24*CG517)</f>
        <v>0.14369328356099531</v>
      </c>
      <c r="AS517" s="323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627</v>
      </c>
      <c r="BI517" s="3" t="s">
        <v>627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323">
        <f>BM517/Modelling[[#This Row],[Comisined DC ]]/BP517</f>
        <v>0.77289606302000058</v>
      </c>
      <c r="BT517" s="337">
        <f>BN517/BQ517/Modelling[[#This Row],[Comisined DC ]]</f>
        <v>0.7728960630200008</v>
      </c>
      <c r="BU517" s="337">
        <f>BO517/BR517/Modelling[[#This Row],[Comisined DC ]]</f>
        <v>0.75371104329353689</v>
      </c>
      <c r="BV517" s="323">
        <f>BM517/(24*Modelling[[#This Row],[Comisined DC ]])</f>
        <v>0.13442573999299476</v>
      </c>
      <c r="BW517" s="323">
        <f>Modelling[[#This Row],[Target E_Grid MTD
MWh]]/Modelling[[#This Row],[MTD DC Capcity]]/(24*CG517)</f>
        <v>0.13442573999299476</v>
      </c>
      <c r="BX517" s="338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3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627</v>
      </c>
      <c r="F518" s="3" t="s">
        <v>627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323">
        <f t="shared" si="195"/>
        <v>0.71360375310159307</v>
      </c>
      <c r="Q518" s="337">
        <f t="shared" si="196"/>
        <v>0.71360375310159307</v>
      </c>
      <c r="R518" s="337">
        <f t="shared" si="197"/>
        <v>0.68885697984703698</v>
      </c>
      <c r="S518" s="323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338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627</v>
      </c>
      <c r="AD518" s="3" t="s">
        <v>627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323">
        <f t="shared" si="203"/>
        <v>0.91932739669119101</v>
      </c>
      <c r="AO518" s="323">
        <f t="shared" si="204"/>
        <v>0.91932739669119157</v>
      </c>
      <c r="AP518" s="323">
        <f t="shared" si="205"/>
        <v>0.90376804571337732</v>
      </c>
      <c r="AQ518" s="323">
        <f t="shared" si="206"/>
        <v>0.15989377033849483</v>
      </c>
      <c r="AR518" s="323">
        <f>Modelling_new[[#This Row],[Target E_Grid MTD
MWh]]/Modelling_new[[#This Row],[MTD DC Capcity]]/(24*CG518)</f>
        <v>0.14369328356099531</v>
      </c>
      <c r="AS518" s="323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627</v>
      </c>
      <c r="BI518" s="3" t="s">
        <v>627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323">
        <f>BM518/Modelling[[#This Row],[Comisined DC ]]/BP518</f>
        <v>0.77289606302000058</v>
      </c>
      <c r="BT518" s="337">
        <f>BN518/BQ518/Modelling[[#This Row],[Comisined DC ]]</f>
        <v>0.77289606302000069</v>
      </c>
      <c r="BU518" s="337">
        <f>BO518/BR518/Modelling[[#This Row],[Comisined DC ]]</f>
        <v>0.75381844009710708</v>
      </c>
      <c r="BV518" s="323">
        <f>BM518/(24*Modelling[[#This Row],[Comisined DC ]])</f>
        <v>0.13442573999299476</v>
      </c>
      <c r="BW518" s="323">
        <f>Modelling[[#This Row],[Target E_Grid MTD
MWh]]/Modelling[[#This Row],[MTD DC Capcity]]/(24*CG518)</f>
        <v>0.13442573999299476</v>
      </c>
      <c r="BX518" s="338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3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627</v>
      </c>
      <c r="F519" s="3" t="s">
        <v>627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323">
        <f t="shared" si="195"/>
        <v>0.71360375310159307</v>
      </c>
      <c r="Q519" s="337">
        <f t="shared" si="196"/>
        <v>0.71360375310159307</v>
      </c>
      <c r="R519" s="337">
        <f t="shared" si="197"/>
        <v>0.68899473990120519</v>
      </c>
      <c r="S519" s="323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338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627</v>
      </c>
      <c r="AD519" s="3" t="s">
        <v>627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323">
        <f t="shared" si="203"/>
        <v>0.91932739669119101</v>
      </c>
      <c r="AO519" s="323">
        <f t="shared" si="204"/>
        <v>0.91932739669119157</v>
      </c>
      <c r="AP519" s="323">
        <f t="shared" si="205"/>
        <v>0.90385466133035008</v>
      </c>
      <c r="AQ519" s="323">
        <f t="shared" si="206"/>
        <v>0.15989377033849483</v>
      </c>
      <c r="AR519" s="323">
        <f>Modelling_new[[#This Row],[Target E_Grid MTD
MWh]]/Modelling_new[[#This Row],[MTD DC Capcity]]/(24*CG519)</f>
        <v>0.14369328356099531</v>
      </c>
      <c r="AS519" s="323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627</v>
      </c>
      <c r="BI519" s="3" t="s">
        <v>627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323">
        <f>BM519/Modelling[[#This Row],[Comisined DC ]]/BP519</f>
        <v>0.77289606302000058</v>
      </c>
      <c r="BT519" s="337">
        <f>BN519/BQ519/Modelling[[#This Row],[Comisined DC ]]</f>
        <v>0.7728960630200008</v>
      </c>
      <c r="BU519" s="337">
        <f>BO519/BR519/Modelling[[#This Row],[Comisined DC ]]</f>
        <v>0.75392464119008296</v>
      </c>
      <c r="BV519" s="323">
        <f>BM519/(24*Modelling[[#This Row],[Comisined DC ]])</f>
        <v>0.13442573999299476</v>
      </c>
      <c r="BW519" s="323">
        <f>Modelling[[#This Row],[Target E_Grid MTD
MWh]]/Modelling[[#This Row],[MTD DC Capcity]]/(24*CG519)</f>
        <v>0.13442573999299476</v>
      </c>
      <c r="BX519" s="338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3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627</v>
      </c>
      <c r="F520" s="3" t="s">
        <v>627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323">
        <f t="shared" si="195"/>
        <v>0.71360375310159307</v>
      </c>
      <c r="Q520" s="337">
        <f t="shared" si="196"/>
        <v>0.7136037531015933</v>
      </c>
      <c r="R520" s="337">
        <f t="shared" si="197"/>
        <v>0.68913097468405005</v>
      </c>
      <c r="S520" s="323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338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627</v>
      </c>
      <c r="AD520" s="3" t="s">
        <v>627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323">
        <f t="shared" si="203"/>
        <v>0.91932739669119101</v>
      </c>
      <c r="AO520" s="323">
        <f t="shared" si="204"/>
        <v>0.91932739669119157</v>
      </c>
      <c r="AP520" s="323">
        <f t="shared" si="205"/>
        <v>0.90394031794423946</v>
      </c>
      <c r="AQ520" s="323">
        <f t="shared" si="206"/>
        <v>0.15989377033849483</v>
      </c>
      <c r="AR520" s="323">
        <f>Modelling_new[[#This Row],[Target E_Grid MTD
MWh]]/Modelling_new[[#This Row],[MTD DC Capcity]]/(24*CG520)</f>
        <v>0.14369328356099528</v>
      </c>
      <c r="AS520" s="323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627</v>
      </c>
      <c r="BI520" s="3" t="s">
        <v>627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323">
        <f>BM520/Modelling[[#This Row],[Comisined DC ]]/BP520</f>
        <v>0.77289606302000058</v>
      </c>
      <c r="BT520" s="337">
        <f>BN520/BQ520/Modelling[[#This Row],[Comisined DC ]]</f>
        <v>0.7728960630200008</v>
      </c>
      <c r="BU520" s="337">
        <f>BO520/BR520/Modelling[[#This Row],[Comisined DC ]]</f>
        <v>0.75402966643072189</v>
      </c>
      <c r="BV520" s="323">
        <f>BM520/(24*Modelling[[#This Row],[Comisined DC ]])</f>
        <v>0.13442573999299476</v>
      </c>
      <c r="BW520" s="323">
        <f>Modelling[[#This Row],[Target E_Grid MTD
MWh]]/Modelling[[#This Row],[MTD DC Capcity]]/(24*CG520)</f>
        <v>0.13442573999299476</v>
      </c>
      <c r="BX520" s="338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3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627</v>
      </c>
      <c r="F521" s="3" t="s">
        <v>627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323">
        <f t="shared" si="195"/>
        <v>0.71360375310159307</v>
      </c>
      <c r="Q521" s="337">
        <f t="shared" si="196"/>
        <v>0.71360375310159307</v>
      </c>
      <c r="R521" s="337">
        <f t="shared" si="197"/>
        <v>0.68926570938768239</v>
      </c>
      <c r="S521" s="323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338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627</v>
      </c>
      <c r="AD521" s="3" t="s">
        <v>627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323">
        <f t="shared" si="203"/>
        <v>0.91932739669119101</v>
      </c>
      <c r="AO521" s="323">
        <f t="shared" si="204"/>
        <v>0.91932739669119157</v>
      </c>
      <c r="AP521" s="323">
        <f t="shared" si="205"/>
        <v>0.90402503139439883</v>
      </c>
      <c r="AQ521" s="323">
        <f t="shared" si="206"/>
        <v>0.15989377033849483</v>
      </c>
      <c r="AR521" s="323">
        <f>Modelling_new[[#This Row],[Target E_Grid MTD
MWh]]/Modelling_new[[#This Row],[MTD DC Capcity]]/(24*CG521)</f>
        <v>0.14369328356099528</v>
      </c>
      <c r="AS521" s="323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627</v>
      </c>
      <c r="BI521" s="3" t="s">
        <v>627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323">
        <f>BM521/Modelling[[#This Row],[Comisined DC ]]/BP521</f>
        <v>0.77289606302000058</v>
      </c>
      <c r="BT521" s="337">
        <f>BN521/BQ521/Modelling[[#This Row],[Comisined DC ]]</f>
        <v>0.7728960630200008</v>
      </c>
      <c r="BU521" s="337">
        <f>BO521/BR521/Modelling[[#This Row],[Comisined DC ]]</f>
        <v>0.75413353523996352</v>
      </c>
      <c r="BV521" s="323">
        <f>BM521/(24*Modelling[[#This Row],[Comisined DC ]])</f>
        <v>0.13442573999299476</v>
      </c>
      <c r="BW521" s="323">
        <f>Modelling[[#This Row],[Target E_Grid MTD
MWh]]/Modelling[[#This Row],[MTD DC Capcity]]/(24*CG521)</f>
        <v>0.13442573999299479</v>
      </c>
      <c r="BX521" s="338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3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627</v>
      </c>
      <c r="F522" s="3" t="s">
        <v>627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323">
        <f t="shared" si="195"/>
        <v>0.71360375310159307</v>
      </c>
      <c r="Q522" s="337">
        <f t="shared" si="196"/>
        <v>0.71360375310159307</v>
      </c>
      <c r="R522" s="337">
        <f t="shared" si="197"/>
        <v>0.68939896865246997</v>
      </c>
      <c r="S522" s="323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338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627</v>
      </c>
      <c r="AD522" s="3" t="s">
        <v>627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323">
        <f t="shared" si="203"/>
        <v>0.91932739669119101</v>
      </c>
      <c r="AO522" s="323">
        <f t="shared" si="204"/>
        <v>0.91932739669119157</v>
      </c>
      <c r="AP522" s="323">
        <f t="shared" si="205"/>
        <v>0.90410881717327807</v>
      </c>
      <c r="AQ522" s="323">
        <f t="shared" si="206"/>
        <v>0.15989377033849483</v>
      </c>
      <c r="AR522" s="323">
        <f>Modelling_new[[#This Row],[Target E_Grid MTD
MWh]]/Modelling_new[[#This Row],[MTD DC Capcity]]/(24*CG522)</f>
        <v>0.14369328356099528</v>
      </c>
      <c r="AS522" s="323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627</v>
      </c>
      <c r="BI522" s="3" t="s">
        <v>627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323">
        <f>BM522/Modelling[[#This Row],[Comisined DC ]]/BP522</f>
        <v>0.77289606302000058</v>
      </c>
      <c r="BT522" s="337">
        <f>BN522/BQ522/Modelling[[#This Row],[Comisined DC ]]</f>
        <v>0.7728960630200008</v>
      </c>
      <c r="BU522" s="337">
        <f>BO522/BR522/Modelling[[#This Row],[Comisined DC ]]</f>
        <v>0.75423626661340171</v>
      </c>
      <c r="BV522" s="323">
        <f>BM522/(24*Modelling[[#This Row],[Comisined DC ]])</f>
        <v>0.13442573999299476</v>
      </c>
      <c r="BW522" s="323">
        <f>Modelling[[#This Row],[Target E_Grid MTD
MWh]]/Modelling[[#This Row],[MTD DC Capcity]]/(24*CG522)</f>
        <v>0.13442573999299479</v>
      </c>
      <c r="BX522" s="338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3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627</v>
      </c>
      <c r="F523" s="3" t="s">
        <v>627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323">
        <f t="shared" si="195"/>
        <v>0.71360375310159307</v>
      </c>
      <c r="Q523" s="337">
        <f t="shared" si="196"/>
        <v>0.71360375310159307</v>
      </c>
      <c r="R523" s="337">
        <f t="shared" si="197"/>
        <v>0.68953077658206174</v>
      </c>
      <c r="S523" s="323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338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627</v>
      </c>
      <c r="AD523" s="3" t="s">
        <v>627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323">
        <f t="shared" si="203"/>
        <v>0.91932739669119101</v>
      </c>
      <c r="AO523" s="323">
        <f t="shared" si="204"/>
        <v>0.91932739669119157</v>
      </c>
      <c r="AP523" s="323">
        <f t="shared" si="205"/>
        <v>0.904191690435868</v>
      </c>
      <c r="AQ523" s="323">
        <f t="shared" si="206"/>
        <v>0.15989377033849483</v>
      </c>
      <c r="AR523" s="323">
        <f>Modelling_new[[#This Row],[Target E_Grid MTD
MWh]]/Modelling_new[[#This Row],[MTD DC Capcity]]/(24*CG523)</f>
        <v>0.14369328356099528</v>
      </c>
      <c r="AS523" s="323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627</v>
      </c>
      <c r="BI523" s="3" t="s">
        <v>627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323">
        <f>BM523/Modelling[[#This Row],[Comisined DC ]]/BP523</f>
        <v>0.77289606302000058</v>
      </c>
      <c r="BT523" s="337">
        <f>BN523/BQ523/Modelling[[#This Row],[Comisined DC ]]</f>
        <v>0.7728960630200008</v>
      </c>
      <c r="BU523" s="337">
        <f>BO523/BR523/Modelling[[#This Row],[Comisined DC ]]</f>
        <v>0.75433787913286576</v>
      </c>
      <c r="BV523" s="323">
        <f>BM523/(24*Modelling[[#This Row],[Comisined DC ]])</f>
        <v>0.13442573999299476</v>
      </c>
      <c r="BW523" s="323">
        <f>Modelling[[#This Row],[Target E_Grid MTD
MWh]]/Modelling[[#This Row],[MTD DC Capcity]]/(24*CG523)</f>
        <v>0.13442573999299481</v>
      </c>
      <c r="BX523" s="338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3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627</v>
      </c>
      <c r="F524" s="3" t="s">
        <v>627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323">
        <f t="shared" si="195"/>
        <v>0.71360375310159307</v>
      </c>
      <c r="Q524" s="337">
        <f t="shared" si="196"/>
        <v>0.71360375310159307</v>
      </c>
      <c r="R524" s="337">
        <f t="shared" si="197"/>
        <v>0.68966115675792095</v>
      </c>
      <c r="S524" s="323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338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627</v>
      </c>
      <c r="AD524" s="3" t="s">
        <v>627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323">
        <f t="shared" si="203"/>
        <v>0.91932739669119101</v>
      </c>
      <c r="AO524" s="323">
        <f t="shared" si="204"/>
        <v>0.91932739669119157</v>
      </c>
      <c r="AP524" s="323">
        <f t="shared" si="205"/>
        <v>0.90427366600883974</v>
      </c>
      <c r="AQ524" s="323">
        <f t="shared" si="206"/>
        <v>0.15989377033849483</v>
      </c>
      <c r="AR524" s="323">
        <f>Modelling_new[[#This Row],[Target E_Grid MTD
MWh]]/Modelling_new[[#This Row],[MTD DC Capcity]]/(24*CG524)</f>
        <v>0.14369328356099528</v>
      </c>
      <c r="AS524" s="323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627</v>
      </c>
      <c r="BI524" s="3" t="s">
        <v>627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323">
        <f>BM524/Modelling[[#This Row],[Comisined DC ]]/BP524</f>
        <v>0.77289606302000058</v>
      </c>
      <c r="BT524" s="337">
        <f>BN524/BQ524/Modelling[[#This Row],[Comisined DC ]]</f>
        <v>0.7728960630200008</v>
      </c>
      <c r="BU524" s="337">
        <f>BO524/BR524/Modelling[[#This Row],[Comisined DC ]]</f>
        <v>0.75443839097762522</v>
      </c>
      <c r="BV524" s="323">
        <f>BM524/(24*Modelling[[#This Row],[Comisined DC ]])</f>
        <v>0.13442573999299476</v>
      </c>
      <c r="BW524" s="323">
        <f>Modelling[[#This Row],[Target E_Grid MTD
MWh]]/Modelling[[#This Row],[MTD DC Capcity]]/(24*CG524)</f>
        <v>0.13442573999299479</v>
      </c>
      <c r="BX524" s="338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3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627</v>
      </c>
      <c r="F525" s="3" t="s">
        <v>627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323">
        <f t="shared" si="195"/>
        <v>0.71360375310159307</v>
      </c>
      <c r="Q525" s="337">
        <f t="shared" si="196"/>
        <v>0.71360375310159307</v>
      </c>
      <c r="R525" s="337">
        <f t="shared" si="197"/>
        <v>0.68979013225339048</v>
      </c>
      <c r="S525" s="323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338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627</v>
      </c>
      <c r="AD525" s="3" t="s">
        <v>627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323">
        <f t="shared" si="203"/>
        <v>0.91932739669119101</v>
      </c>
      <c r="AO525" s="323">
        <f t="shared" si="204"/>
        <v>0.91932739669119157</v>
      </c>
      <c r="AP525" s="323">
        <f t="shared" si="205"/>
        <v>0.90435475839938728</v>
      </c>
      <c r="AQ525" s="323">
        <f t="shared" si="206"/>
        <v>0.15989377033849483</v>
      </c>
      <c r="AR525" s="323">
        <f>Modelling_new[[#This Row],[Target E_Grid MTD
MWh]]/Modelling_new[[#This Row],[MTD DC Capcity]]/(24*CG525)</f>
        <v>0.14369328356099531</v>
      </c>
      <c r="AS525" s="323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627</v>
      </c>
      <c r="BI525" s="3" t="s">
        <v>627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323">
        <f>BM525/Modelling[[#This Row],[Comisined DC ]]/BP525</f>
        <v>0.77289606302000058</v>
      </c>
      <c r="BT525" s="337">
        <f>BN525/BQ525/Modelling[[#This Row],[Comisined DC ]]</f>
        <v>0.7728960630200008</v>
      </c>
      <c r="BU525" s="337">
        <f>BO525/BR525/Modelling[[#This Row],[Comisined DC ]]</f>
        <v>0.75453781993523317</v>
      </c>
      <c r="BV525" s="323">
        <f>BM525/(24*Modelling[[#This Row],[Comisined DC ]])</f>
        <v>0.13442573999299476</v>
      </c>
      <c r="BW525" s="323">
        <f>Modelling[[#This Row],[Target E_Grid MTD
MWh]]/Modelling[[#This Row],[MTD DC Capcity]]/(24*CG525)</f>
        <v>0.13442573999299479</v>
      </c>
      <c r="BX525" s="338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3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627</v>
      </c>
      <c r="F526" s="3" t="s">
        <v>627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323">
        <f t="shared" si="195"/>
        <v>0.71360375310159307</v>
      </c>
      <c r="Q526" s="337">
        <f t="shared" si="196"/>
        <v>0.71360375310159307</v>
      </c>
      <c r="R526" s="337">
        <f t="shared" si="197"/>
        <v>0.68991772564730525</v>
      </c>
      <c r="S526" s="323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338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627</v>
      </c>
      <c r="AD526" s="3" t="s">
        <v>627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323">
        <f t="shared" si="203"/>
        <v>0.91932739669119101</v>
      </c>
      <c r="AO526" s="323">
        <f t="shared" si="204"/>
        <v>0.91932739669119157</v>
      </c>
      <c r="AP526" s="323">
        <f t="shared" si="205"/>
        <v>0.90443498180378634</v>
      </c>
      <c r="AQ526" s="323">
        <f t="shared" si="206"/>
        <v>0.15989377033849483</v>
      </c>
      <c r="AR526" s="323">
        <f>Modelling_new[[#This Row],[Target E_Grid MTD
MWh]]/Modelling_new[[#This Row],[MTD DC Capcity]]/(24*CG526)</f>
        <v>0.14369328356099531</v>
      </c>
      <c r="AS526" s="323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627</v>
      </c>
      <c r="BI526" s="3" t="s">
        <v>627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323">
        <f>BM526/Modelling[[#This Row],[Comisined DC ]]/BP526</f>
        <v>0.77289606302000058</v>
      </c>
      <c r="BT526" s="337">
        <f>BN526/BQ526/Modelling[[#This Row],[Comisined DC ]]</f>
        <v>0.77289606302000091</v>
      </c>
      <c r="BU526" s="337">
        <f>BO526/BR526/Modelling[[#This Row],[Comisined DC ]]</f>
        <v>0.75463618341201955</v>
      </c>
      <c r="BV526" s="323">
        <f>BM526/(24*Modelling[[#This Row],[Comisined DC ]])</f>
        <v>0.13442573999299476</v>
      </c>
      <c r="BW526" s="323">
        <f>Modelling[[#This Row],[Target E_Grid MTD
MWh]]/Modelling[[#This Row],[MTD DC Capcity]]/(24*CG526)</f>
        <v>0.13442573999299481</v>
      </c>
      <c r="BX526" s="338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3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627</v>
      </c>
      <c r="F527" s="3" t="s">
        <v>627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323">
        <f t="shared" si="195"/>
        <v>0.71360375310159307</v>
      </c>
      <c r="Q527" s="337">
        <f t="shared" si="196"/>
        <v>0.71360375310159307</v>
      </c>
      <c r="R527" s="337">
        <f t="shared" si="197"/>
        <v>0.69004395903716964</v>
      </c>
      <c r="S527" s="323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338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627</v>
      </c>
      <c r="AD527" s="3" t="s">
        <v>627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323">
        <f t="shared" si="203"/>
        <v>0.91932739669119101</v>
      </c>
      <c r="AO527" s="323">
        <f t="shared" si="204"/>
        <v>0.91932739669119157</v>
      </c>
      <c r="AP527" s="323">
        <f t="shared" si="205"/>
        <v>0.90451435011567971</v>
      </c>
      <c r="AQ527" s="323">
        <f t="shared" si="206"/>
        <v>0.15989377033849483</v>
      </c>
      <c r="AR527" s="323">
        <f>Modelling_new[[#This Row],[Target E_Grid MTD
MWh]]/Modelling_new[[#This Row],[MTD DC Capcity]]/(24*CG527)</f>
        <v>0.14369328356099528</v>
      </c>
      <c r="AS527" s="323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627</v>
      </c>
      <c r="BI527" s="3" t="s">
        <v>627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323">
        <f>BM527/Modelling[[#This Row],[Comisined DC ]]/BP527</f>
        <v>0.77289606302000058</v>
      </c>
      <c r="BT527" s="337">
        <f>BN527/BQ527/Modelling[[#This Row],[Comisined DC ]]</f>
        <v>0.7728960630200008</v>
      </c>
      <c r="BU527" s="337">
        <f>BO527/BR527/Modelling[[#This Row],[Comisined DC ]]</f>
        <v>0.75473349844324966</v>
      </c>
      <c r="BV527" s="323">
        <f>BM527/(24*Modelling[[#This Row],[Comisined DC ]])</f>
        <v>0.13442573999299476</v>
      </c>
      <c r="BW527" s="323">
        <f>Modelling[[#This Row],[Target E_Grid MTD
MWh]]/Modelling[[#This Row],[MTD DC Capcity]]/(24*CG527)</f>
        <v>0.13442573999299481</v>
      </c>
      <c r="BX527" s="338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3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627</v>
      </c>
      <c r="F528" s="3" t="s">
        <v>627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323">
        <f t="shared" si="195"/>
        <v>0.71360375310159307</v>
      </c>
      <c r="Q528" s="337">
        <f t="shared" si="196"/>
        <v>0.71360375310159307</v>
      </c>
      <c r="R528" s="337">
        <f t="shared" si="197"/>
        <v>0.6901688540519153</v>
      </c>
      <c r="S528" s="323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338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627</v>
      </c>
      <c r="AD528" s="3" t="s">
        <v>627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323">
        <f t="shared" si="203"/>
        <v>0.91932739669119101</v>
      </c>
      <c r="AO528" s="323">
        <f t="shared" si="204"/>
        <v>0.91932739669119179</v>
      </c>
      <c r="AP528" s="323">
        <f t="shared" si="205"/>
        <v>0.90459287693409851</v>
      </c>
      <c r="AQ528" s="323">
        <f t="shared" si="206"/>
        <v>0.15989377033849483</v>
      </c>
      <c r="AR528" s="323">
        <f>Modelling_new[[#This Row],[Target E_Grid MTD
MWh]]/Modelling_new[[#This Row],[MTD DC Capcity]]/(24*CG528)</f>
        <v>0.14369328356099528</v>
      </c>
      <c r="AS528" s="323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627</v>
      </c>
      <c r="BI528" s="3" t="s">
        <v>627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323">
        <f>BM528/Modelling[[#This Row],[Comisined DC ]]/BP528</f>
        <v>0.77289606302000058</v>
      </c>
      <c r="BT528" s="337">
        <f>BN528/BQ528/Modelling[[#This Row],[Comisined DC ]]</f>
        <v>0.7728960630200008</v>
      </c>
      <c r="BU528" s="337">
        <f>BO528/BR528/Modelling[[#This Row],[Comisined DC ]]</f>
        <v>0.75482978170296033</v>
      </c>
      <c r="BV528" s="323">
        <f>BM528/(24*Modelling[[#This Row],[Comisined DC ]])</f>
        <v>0.13442573999299476</v>
      </c>
      <c r="BW528" s="323">
        <f>Modelling[[#This Row],[Target E_Grid MTD
MWh]]/Modelling[[#This Row],[MTD DC Capcity]]/(24*CG528)</f>
        <v>0.13442573999299481</v>
      </c>
      <c r="BX528" s="338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3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627</v>
      </c>
      <c r="F529" s="3" t="s">
        <v>627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323">
        <f t="shared" si="195"/>
        <v>0.71360375310159307</v>
      </c>
      <c r="Q529" s="337">
        <f t="shared" si="196"/>
        <v>0.71360375310159307</v>
      </c>
      <c r="R529" s="337">
        <f t="shared" si="197"/>
        <v>0.69029243186425604</v>
      </c>
      <c r="S529" s="323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338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627</v>
      </c>
      <c r="AD529" s="3" t="s">
        <v>627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323">
        <f t="shared" si="203"/>
        <v>0.91932739669119101</v>
      </c>
      <c r="AO529" s="323">
        <f t="shared" si="204"/>
        <v>0.91932739669119157</v>
      </c>
      <c r="AP529" s="323">
        <f t="shared" si="205"/>
        <v>0.90467057557122987</v>
      </c>
      <c r="AQ529" s="323">
        <f t="shared" si="206"/>
        <v>0.15989377033849483</v>
      </c>
      <c r="AR529" s="323">
        <f>Modelling_new[[#This Row],[Target E_Grid MTD
MWh]]/Modelling_new[[#This Row],[MTD DC Capcity]]/(24*CG529)</f>
        <v>0.14369328356099528</v>
      </c>
      <c r="AS529" s="323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627</v>
      </c>
      <c r="BI529" s="3" t="s">
        <v>627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323">
        <f>BM529/Modelling[[#This Row],[Comisined DC ]]/BP529</f>
        <v>0.77289606302000058</v>
      </c>
      <c r="BT529" s="337">
        <f>BN529/BQ529/Modelling[[#This Row],[Comisined DC ]]</f>
        <v>0.77289606302000091</v>
      </c>
      <c r="BU529" s="337">
        <f>BO529/BR529/Modelling[[#This Row],[Comisined DC ]]</f>
        <v>0.75492504951348327</v>
      </c>
      <c r="BV529" s="323">
        <f>BM529/(24*Modelling[[#This Row],[Comisined DC ]])</f>
        <v>0.13442573999299476</v>
      </c>
      <c r="BW529" s="323">
        <f>Modelling[[#This Row],[Target E_Grid MTD
MWh]]/Modelling[[#This Row],[MTD DC Capcity]]/(24*CG529)</f>
        <v>0.13442573999299481</v>
      </c>
      <c r="BX529" s="338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3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627</v>
      </c>
      <c r="F530" s="3" t="s">
        <v>627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323">
        <f t="shared" si="195"/>
        <v>0.71360375310159307</v>
      </c>
      <c r="Q530" s="337">
        <f t="shared" si="196"/>
        <v>0.71360375310159307</v>
      </c>
      <c r="R530" s="337">
        <f t="shared" si="197"/>
        <v>0.69041471320265302</v>
      </c>
      <c r="S530" s="323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338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627</v>
      </c>
      <c r="AD530" s="3" t="s">
        <v>627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323">
        <f t="shared" si="203"/>
        <v>0.91932739669119101</v>
      </c>
      <c r="AO530" s="323">
        <f t="shared" si="204"/>
        <v>0.91932739669119157</v>
      </c>
      <c r="AP530" s="323">
        <f t="shared" si="205"/>
        <v>0.90474745905994103</v>
      </c>
      <c r="AQ530" s="323">
        <f t="shared" si="206"/>
        <v>0.15989377033849483</v>
      </c>
      <c r="AR530" s="323">
        <f>Modelling_new[[#This Row],[Target E_Grid MTD
MWh]]/Modelling_new[[#This Row],[MTD DC Capcity]]/(24*CG530)</f>
        <v>0.14369328356099526</v>
      </c>
      <c r="AS530" s="323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627</v>
      </c>
      <c r="BI530" s="3" t="s">
        <v>627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323">
        <f>BM530/Modelling[[#This Row],[Comisined DC ]]/BP530</f>
        <v>0.77289606302000058</v>
      </c>
      <c r="BT530" s="337">
        <f>BN530/BQ530/Modelling[[#This Row],[Comisined DC ]]</f>
        <v>0.7728960630200008</v>
      </c>
      <c r="BU530" s="337">
        <f>BO530/BR530/Modelling[[#This Row],[Comisined DC ]]</f>
        <v>0.75501931785467058</v>
      </c>
      <c r="BV530" s="323">
        <f>BM530/(24*Modelling[[#This Row],[Comisined DC ]])</f>
        <v>0.13442573999299476</v>
      </c>
      <c r="BW530" s="323">
        <f>Modelling[[#This Row],[Target E_Grid MTD
MWh]]/Modelling[[#This Row],[MTD DC Capcity]]/(24*CG530)</f>
        <v>0.13442573999299481</v>
      </c>
      <c r="BX530" s="338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3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627</v>
      </c>
      <c r="F531" s="3" t="s">
        <v>627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323">
        <f t="shared" si="195"/>
        <v>0.71360375310159307</v>
      </c>
      <c r="Q531" s="337">
        <f t="shared" si="196"/>
        <v>0.71360375310159307</v>
      </c>
      <c r="R531" s="337">
        <f t="shared" si="197"/>
        <v>0.69053571836290606</v>
      </c>
      <c r="S531" s="323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338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627</v>
      </c>
      <c r="AD531" s="3" t="s">
        <v>627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323">
        <f t="shared" si="203"/>
        <v>0.91932739669119101</v>
      </c>
      <c r="AO531" s="323">
        <f t="shared" si="204"/>
        <v>0.91932739669119146</v>
      </c>
      <c r="AP531" s="323">
        <f t="shared" si="205"/>
        <v>0.90482354016106625</v>
      </c>
      <c r="AQ531" s="323">
        <f t="shared" si="206"/>
        <v>0.15989377033849483</v>
      </c>
      <c r="AR531" s="323">
        <f>Modelling_new[[#This Row],[Target E_Grid MTD
MWh]]/Modelling_new[[#This Row],[MTD DC Capcity]]/(24*CG531)</f>
        <v>0.14369328356099526</v>
      </c>
      <c r="AS531" s="323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627</v>
      </c>
      <c r="BI531" s="3" t="s">
        <v>627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323">
        <f>BM531/Modelling[[#This Row],[Comisined DC ]]/BP531</f>
        <v>0.77289606302000058</v>
      </c>
      <c r="BT531" s="337">
        <f>BN531/BQ531/Modelling[[#This Row],[Comisined DC ]]</f>
        <v>0.7728960630200008</v>
      </c>
      <c r="BU531" s="337">
        <f>BO531/BR531/Modelling[[#This Row],[Comisined DC ]]</f>
        <v>0.75511260237282929</v>
      </c>
      <c r="BV531" s="323">
        <f>BM531/(24*Modelling[[#This Row],[Comisined DC ]])</f>
        <v>0.13442573999299476</v>
      </c>
      <c r="BW531" s="323">
        <f>Modelling[[#This Row],[Target E_Grid MTD
MWh]]/Modelling[[#This Row],[MTD DC Capcity]]/(24*CG531)</f>
        <v>0.13442573999299481</v>
      </c>
      <c r="BX531" s="338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3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627</v>
      </c>
      <c r="F532" s="3" t="s">
        <v>627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323">
        <f t="shared" si="195"/>
        <v>0.71360375310159307</v>
      </c>
      <c r="Q532" s="337">
        <f t="shared" si="196"/>
        <v>0.7136037531015933</v>
      </c>
      <c r="R532" s="337">
        <f t="shared" si="197"/>
        <v>0.69065546721938365</v>
      </c>
      <c r="S532" s="323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338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627</v>
      </c>
      <c r="AD532" s="3" t="s">
        <v>627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323">
        <f t="shared" si="203"/>
        <v>0.91932739669119101</v>
      </c>
      <c r="AO532" s="323">
        <f t="shared" si="204"/>
        <v>0.91932739669119146</v>
      </c>
      <c r="AP532" s="323">
        <f t="shared" si="205"/>
        <v>0.904898831370468</v>
      </c>
      <c r="AQ532" s="323">
        <f t="shared" si="206"/>
        <v>0.15989377033849483</v>
      </c>
      <c r="AR532" s="323">
        <f>Modelling_new[[#This Row],[Target E_Grid MTD
MWh]]/Modelling_new[[#This Row],[MTD DC Capcity]]/(24*CG532)</f>
        <v>0.14369328356099523</v>
      </c>
      <c r="AS532" s="323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627</v>
      </c>
      <c r="BI532" s="3" t="s">
        <v>627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323">
        <f>BM532/Modelling[[#This Row],[Comisined DC ]]/BP532</f>
        <v>0.77289606302000058</v>
      </c>
      <c r="BT532" s="337">
        <f>BN532/BQ532/Modelling[[#This Row],[Comisined DC ]]</f>
        <v>0.77289606302000069</v>
      </c>
      <c r="BU532" s="337">
        <f>BO532/BR532/Modelling[[#This Row],[Comisined DC ]]</f>
        <v>0.7552049183893792</v>
      </c>
      <c r="BV532" s="323">
        <f>BM532/(24*Modelling[[#This Row],[Comisined DC ]])</f>
        <v>0.13442573999299476</v>
      </c>
      <c r="BW532" s="323">
        <f>Modelling[[#This Row],[Target E_Grid MTD
MWh]]/Modelling[[#This Row],[MTD DC Capcity]]/(24*CG532)</f>
        <v>0.13442573999299479</v>
      </c>
      <c r="BX532" s="338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3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627</v>
      </c>
      <c r="F533" s="3" t="s">
        <v>627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323">
        <f t="shared" si="195"/>
        <v>0.71360375310159307</v>
      </c>
      <c r="Q533" s="337">
        <f t="shared" si="196"/>
        <v>0.7136037531015933</v>
      </c>
      <c r="R533" s="337">
        <f t="shared" si="197"/>
        <v>0.69077397923590445</v>
      </c>
      <c r="S533" s="323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338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627</v>
      </c>
      <c r="AD533" s="3" t="s">
        <v>627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323">
        <f t="shared" si="203"/>
        <v>0.91932739669119101</v>
      </c>
      <c r="AO533" s="323">
        <f t="shared" si="204"/>
        <v>0.91932739669119123</v>
      </c>
      <c r="AP533" s="323">
        <f t="shared" si="205"/>
        <v>0.90497334492587855</v>
      </c>
      <c r="AQ533" s="323">
        <f t="shared" si="206"/>
        <v>0.15989377033849483</v>
      </c>
      <c r="AR533" s="323">
        <f>Modelling_new[[#This Row],[Target E_Grid MTD
MWh]]/Modelling_new[[#This Row],[MTD DC Capcity]]/(24*CG533)</f>
        <v>0.1436932835609952</v>
      </c>
      <c r="AS533" s="323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627</v>
      </c>
      <c r="BI533" s="3" t="s">
        <v>627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323">
        <f>BM533/Modelling[[#This Row],[Comisined DC ]]/BP533</f>
        <v>0.77289606302000058</v>
      </c>
      <c r="BT533" s="337">
        <f>BN533/BQ533/Modelling[[#This Row],[Comisined DC ]]</f>
        <v>0.7728960630200008</v>
      </c>
      <c r="BU533" s="337">
        <f>BO533/BR533/Modelling[[#This Row],[Comisined DC ]]</f>
        <v>0.75529628090924217</v>
      </c>
      <c r="BV533" s="323">
        <f>BM533/(24*Modelling[[#This Row],[Comisined DC ]])</f>
        <v>0.13442573999299476</v>
      </c>
      <c r="BW533" s="323">
        <f>Modelling[[#This Row],[Target E_Grid MTD
MWh]]/Modelling[[#This Row],[MTD DC Capcity]]/(24*CG533)</f>
        <v>0.13442573999299481</v>
      </c>
      <c r="BX533" s="338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3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627</v>
      </c>
      <c r="F534" s="3" t="s">
        <v>627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323">
        <f t="shared" si="195"/>
        <v>0.71360375310159307</v>
      </c>
      <c r="Q534" s="337">
        <f t="shared" si="196"/>
        <v>0.7136037531015933</v>
      </c>
      <c r="R534" s="337">
        <f t="shared" si="197"/>
        <v>0.69089127347628487</v>
      </c>
      <c r="S534" s="323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338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627</v>
      </c>
      <c r="AD534" s="3" t="s">
        <v>627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323">
        <f t="shared" si="203"/>
        <v>0.91932739669119101</v>
      </c>
      <c r="AO534" s="323">
        <f t="shared" si="204"/>
        <v>0.91932739669119123</v>
      </c>
      <c r="AP534" s="323">
        <f t="shared" si="205"/>
        <v>0.90504709281353168</v>
      </c>
      <c r="AQ534" s="323">
        <f t="shared" si="206"/>
        <v>0.15989377033849483</v>
      </c>
      <c r="AR534" s="323">
        <f>Modelling_new[[#This Row],[Target E_Grid MTD
MWh]]/Modelling_new[[#This Row],[MTD DC Capcity]]/(24*CG534)</f>
        <v>0.1436932835609952</v>
      </c>
      <c r="AS534" s="323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627</v>
      </c>
      <c r="BI534" s="3" t="s">
        <v>627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323">
        <f>BM534/Modelling[[#This Row],[Comisined DC ]]/BP534</f>
        <v>0.77289606302000058</v>
      </c>
      <c r="BT534" s="337">
        <f>BN534/BQ534/Modelling[[#This Row],[Comisined DC ]]</f>
        <v>0.77289606302000069</v>
      </c>
      <c r="BU534" s="337">
        <f>BO534/BR534/Modelling[[#This Row],[Comisined DC ]]</f>
        <v>0.75538670462897273</v>
      </c>
      <c r="BV534" s="323">
        <f>BM534/(24*Modelling[[#This Row],[Comisined DC ]])</f>
        <v>0.13442573999299476</v>
      </c>
      <c r="BW534" s="323">
        <f>Modelling[[#This Row],[Target E_Grid MTD
MWh]]/Modelling[[#This Row],[MTD DC Capcity]]/(24*CG534)</f>
        <v>0.13442573999299479</v>
      </c>
      <c r="BX534" s="338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3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627</v>
      </c>
      <c r="F535" s="3" t="s">
        <v>627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323">
        <f t="shared" si="195"/>
        <v>0.71360375310159307</v>
      </c>
      <c r="Q535" s="337">
        <f t="shared" si="196"/>
        <v>0.7136037531015933</v>
      </c>
      <c r="R535" s="337">
        <f t="shared" si="197"/>
        <v>0.69100736861456102</v>
      </c>
      <c r="S535" s="323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338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627</v>
      </c>
      <c r="AD535" s="3" t="s">
        <v>627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323">
        <f t="shared" si="203"/>
        <v>0.91932739669119101</v>
      </c>
      <c r="AO535" s="323">
        <f t="shared" si="204"/>
        <v>0.91932739669119123</v>
      </c>
      <c r="AP535" s="323">
        <f t="shared" si="205"/>
        <v>0.90512008677458977</v>
      </c>
      <c r="AQ535" s="323">
        <f t="shared" si="206"/>
        <v>0.15989377033849483</v>
      </c>
      <c r="AR535" s="323">
        <f>Modelling_new[[#This Row],[Target E_Grid MTD
MWh]]/Modelling_new[[#This Row],[MTD DC Capcity]]/(24*CG535)</f>
        <v>0.14369328356099517</v>
      </c>
      <c r="AS535" s="323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627</v>
      </c>
      <c r="BI535" s="3" t="s">
        <v>627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323">
        <f>BM535/Modelling[[#This Row],[Comisined DC ]]/BP535</f>
        <v>0.77289606302000058</v>
      </c>
      <c r="BT535" s="337">
        <f>BN535/BQ535/Modelling[[#This Row],[Comisined DC ]]</f>
        <v>0.77289606302000069</v>
      </c>
      <c r="BU535" s="337">
        <f>BO535/BR535/Modelling[[#This Row],[Comisined DC ]]</f>
        <v>0.75547620394463832</v>
      </c>
      <c r="BV535" s="323">
        <f>BM535/(24*Modelling[[#This Row],[Comisined DC ]])</f>
        <v>0.13442573999299476</v>
      </c>
      <c r="BW535" s="323">
        <f>Modelling[[#This Row],[Target E_Grid MTD
MWh]]/Modelling[[#This Row],[MTD DC Capcity]]/(24*CG535)</f>
        <v>0.13442573999299481</v>
      </c>
      <c r="BX535" s="338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3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627</v>
      </c>
      <c r="F536" s="3" t="s">
        <v>627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323">
        <f t="shared" si="195"/>
        <v>0.71360375310159307</v>
      </c>
      <c r="Q536" s="337">
        <f t="shared" si="196"/>
        <v>0.7136037531015933</v>
      </c>
      <c r="R536" s="337">
        <f t="shared" si="197"/>
        <v>0.69112228294490052</v>
      </c>
      <c r="S536" s="323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338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627</v>
      </c>
      <c r="AD536" s="3" t="s">
        <v>627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323">
        <f t="shared" si="203"/>
        <v>0.91932739669119101</v>
      </c>
      <c r="AO536" s="323">
        <f t="shared" si="204"/>
        <v>0.91932739669119112</v>
      </c>
      <c r="AP536" s="323">
        <f t="shared" si="205"/>
        <v>0.90519233831137558</v>
      </c>
      <c r="AQ536" s="323">
        <f t="shared" si="206"/>
        <v>0.15989377033849483</v>
      </c>
      <c r="AR536" s="323">
        <f>Modelling_new[[#This Row],[Target E_Grid MTD
MWh]]/Modelling_new[[#This Row],[MTD DC Capcity]]/(24*CG536)</f>
        <v>0.14369328356099517</v>
      </c>
      <c r="AS536" s="323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627</v>
      </c>
      <c r="BI536" s="3" t="s">
        <v>627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323">
        <f>BM536/Modelling[[#This Row],[Comisined DC ]]/BP536</f>
        <v>0.77289606302000058</v>
      </c>
      <c r="BT536" s="337">
        <f>BN536/BQ536/Modelling[[#This Row],[Comisined DC ]]</f>
        <v>0.77289606302000047</v>
      </c>
      <c r="BU536" s="337">
        <f>BO536/BR536/Modelling[[#This Row],[Comisined DC ]]</f>
        <v>0.75556479295946077</v>
      </c>
      <c r="BV536" s="323">
        <f>BM536/(24*Modelling[[#This Row],[Comisined DC ]])</f>
        <v>0.13442573999299476</v>
      </c>
      <c r="BW536" s="323">
        <f>Modelling[[#This Row],[Target E_Grid MTD
MWh]]/Modelling[[#This Row],[MTD DC Capcity]]/(24*CG536)</f>
        <v>0.13442573999299479</v>
      </c>
      <c r="BX536" s="338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3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627</v>
      </c>
      <c r="F537" s="3" t="s">
        <v>627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323">
        <f t="shared" si="195"/>
        <v>0.70697746106983606</v>
      </c>
      <c r="Q537" s="337">
        <f t="shared" si="196"/>
        <v>0.70697746106983606</v>
      </c>
      <c r="R537" s="337">
        <f t="shared" si="197"/>
        <v>0.69121700950563403</v>
      </c>
      <c r="S537" s="323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338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627</v>
      </c>
      <c r="AD537" s="3" t="s">
        <v>627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323">
        <f t="shared" si="203"/>
        <v>0.94267990371312482</v>
      </c>
      <c r="AO537" s="323">
        <f t="shared" si="204"/>
        <v>0.94267990371312482</v>
      </c>
      <c r="AP537" s="323">
        <f t="shared" si="205"/>
        <v>0.905416307295691</v>
      </c>
      <c r="AQ537" s="323">
        <f t="shared" si="206"/>
        <v>0.19377309131880904</v>
      </c>
      <c r="AR537" s="323">
        <f>Modelling_new[[#This Row],[Target E_Grid MTD
MWh]]/Modelling_new[[#This Row],[MTD DC Capcity]]/(24*CG537)</f>
        <v>0.17413994115229622</v>
      </c>
      <c r="AS537" s="323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627</v>
      </c>
      <c r="BI537" s="3" t="s">
        <v>627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323">
        <f>BM537/Modelling[[#This Row],[Comisined DC ]]/BP537</f>
        <v>0.78081288530413306</v>
      </c>
      <c r="BT537" s="337">
        <f>BN537/BQ537/Modelling[[#This Row],[Comisined DC ]]</f>
        <v>0.78081288530413295</v>
      </c>
      <c r="BU537" s="337">
        <f>BO537/BR537/Modelling[[#This Row],[Comisined DC ]]</f>
        <v>0.7557156373671392</v>
      </c>
      <c r="BV537" s="323">
        <f>BM537/(24*Modelling[[#This Row],[Comisined DC ]])</f>
        <v>0.16050042642362736</v>
      </c>
      <c r="BW537" s="323">
        <f>Modelling[[#This Row],[Target E_Grid MTD
MWh]]/Modelling[[#This Row],[MTD DC Capcity]]/(24*CG537)</f>
        <v>0.16050042642362736</v>
      </c>
      <c r="BX537" s="338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3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627</v>
      </c>
      <c r="F538" s="3" t="s">
        <v>627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323">
        <f t="shared" si="195"/>
        <v>0.70697746106983606</v>
      </c>
      <c r="Q538" s="337">
        <f t="shared" si="196"/>
        <v>0.70697746106983606</v>
      </c>
      <c r="R538" s="337">
        <f t="shared" si="197"/>
        <v>0.69131061090336687</v>
      </c>
      <c r="S538" s="323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338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627</v>
      </c>
      <c r="AD538" s="3" t="s">
        <v>627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323">
        <f t="shared" si="203"/>
        <v>0.94267990371312482</v>
      </c>
      <c r="AO538" s="323">
        <f t="shared" si="204"/>
        <v>0.94267990371312482</v>
      </c>
      <c r="AP538" s="323">
        <f t="shared" si="205"/>
        <v>0.90563761597425374</v>
      </c>
      <c r="AQ538" s="323">
        <f t="shared" si="206"/>
        <v>0.19377309131880904</v>
      </c>
      <c r="AR538" s="323">
        <f>Modelling_new[[#This Row],[Target E_Grid MTD
MWh]]/Modelling_new[[#This Row],[MTD DC Capcity]]/(24*CG538)</f>
        <v>0.17413994115229622</v>
      </c>
      <c r="AS538" s="323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627</v>
      </c>
      <c r="BI538" s="3" t="s">
        <v>627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323">
        <f>BM538/Modelling[[#This Row],[Comisined DC ]]/BP538</f>
        <v>0.78081288530413306</v>
      </c>
      <c r="BT538" s="337">
        <f>BN538/BQ538/Modelling[[#This Row],[Comisined DC ]]</f>
        <v>0.78081288530413295</v>
      </c>
      <c r="BU538" s="337">
        <f>BO538/BR538/Modelling[[#This Row],[Comisined DC ]]</f>
        <v>0.75586469004349077</v>
      </c>
      <c r="BV538" s="323">
        <f>BM538/(24*Modelling[[#This Row],[Comisined DC ]])</f>
        <v>0.16050042642362736</v>
      </c>
      <c r="BW538" s="323">
        <f>Modelling[[#This Row],[Target E_Grid MTD
MWh]]/Modelling[[#This Row],[MTD DC Capcity]]/(24*CG538)</f>
        <v>0.16050042642362736</v>
      </c>
      <c r="BX538" s="338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3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627</v>
      </c>
      <c r="F539" s="3" t="s">
        <v>627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323">
        <f t="shared" si="195"/>
        <v>0.70697746106983606</v>
      </c>
      <c r="Q539" s="337">
        <f t="shared" si="196"/>
        <v>0.70697746106983606</v>
      </c>
      <c r="R539" s="337">
        <f t="shared" si="197"/>
        <v>0.69140310706678798</v>
      </c>
      <c r="S539" s="323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338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627</v>
      </c>
      <c r="AD539" s="3" t="s">
        <v>627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323">
        <f t="shared" si="203"/>
        <v>0.94267990371312482</v>
      </c>
      <c r="AO539" s="323">
        <f t="shared" si="204"/>
        <v>0.94267990371312482</v>
      </c>
      <c r="AP539" s="323">
        <f t="shared" si="205"/>
        <v>0.9058563114659306</v>
      </c>
      <c r="AQ539" s="323">
        <f t="shared" si="206"/>
        <v>0.19377309131880904</v>
      </c>
      <c r="AR539" s="323">
        <f>Modelling_new[[#This Row],[Target E_Grid MTD
MWh]]/Modelling_new[[#This Row],[MTD DC Capcity]]/(24*CG539)</f>
        <v>0.1741399411522962</v>
      </c>
      <c r="AS539" s="323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627</v>
      </c>
      <c r="BI539" s="3" t="s">
        <v>627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323">
        <f>BM539/Modelling[[#This Row],[Comisined DC ]]/BP539</f>
        <v>0.78081288530413306</v>
      </c>
      <c r="BT539" s="337">
        <f>BN539/BQ539/Modelling[[#This Row],[Comisined DC ]]</f>
        <v>0.78081288530413295</v>
      </c>
      <c r="BU539" s="337">
        <f>BO539/BR539/Modelling[[#This Row],[Comisined DC ]]</f>
        <v>0.75601198272334458</v>
      </c>
      <c r="BV539" s="323">
        <f>BM539/(24*Modelling[[#This Row],[Comisined DC ]])</f>
        <v>0.16050042642362736</v>
      </c>
      <c r="BW539" s="323">
        <f>Modelling[[#This Row],[Target E_Grid MTD
MWh]]/Modelling[[#This Row],[MTD DC Capcity]]/(24*CG539)</f>
        <v>0.16050042642362733</v>
      </c>
      <c r="BX539" s="338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3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627</v>
      </c>
      <c r="F540" s="3" t="s">
        <v>627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323">
        <f t="shared" si="195"/>
        <v>0.70697746106983606</v>
      </c>
      <c r="Q540" s="337">
        <f t="shared" si="196"/>
        <v>0.70697746106983606</v>
      </c>
      <c r="R540" s="337">
        <f t="shared" si="197"/>
        <v>0.69149451745671708</v>
      </c>
      <c r="S540" s="323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338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627</v>
      </c>
      <c r="AD540" s="3" t="s">
        <v>627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323">
        <f t="shared" si="203"/>
        <v>0.94267990371312482</v>
      </c>
      <c r="AO540" s="323">
        <f t="shared" si="204"/>
        <v>0.94267990371312482</v>
      </c>
      <c r="AP540" s="323">
        <f t="shared" si="205"/>
        <v>0.9060724397833716</v>
      </c>
      <c r="AQ540" s="323">
        <f t="shared" si="206"/>
        <v>0.19377309131880904</v>
      </c>
      <c r="AR540" s="323">
        <f>Modelling_new[[#This Row],[Target E_Grid MTD
MWh]]/Modelling_new[[#This Row],[MTD DC Capcity]]/(24*CG540)</f>
        <v>0.17413994115229622</v>
      </c>
      <c r="AS540" s="323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627</v>
      </c>
      <c r="BI540" s="3" t="s">
        <v>627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323">
        <f>BM540/Modelling[[#This Row],[Comisined DC ]]/BP540</f>
        <v>0.78081288530413306</v>
      </c>
      <c r="BT540" s="337">
        <f>BN540/BQ540/Modelling[[#This Row],[Comisined DC ]]</f>
        <v>0.78081288530413295</v>
      </c>
      <c r="BU540" s="337">
        <f>BO540/BR540/Modelling[[#This Row],[Comisined DC ]]</f>
        <v>0.75615754639648691</v>
      </c>
      <c r="BV540" s="323">
        <f>BM540/(24*Modelling[[#This Row],[Comisined DC ]])</f>
        <v>0.16050042642362736</v>
      </c>
      <c r="BW540" s="323">
        <f>Modelling[[#This Row],[Target E_Grid MTD
MWh]]/Modelling[[#This Row],[MTD DC Capcity]]/(24*CG540)</f>
        <v>0.16050042642362736</v>
      </c>
      <c r="BX540" s="338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3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627</v>
      </c>
      <c r="F541" s="3" t="s">
        <v>627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323">
        <f t="shared" si="195"/>
        <v>0.70697746106983606</v>
      </c>
      <c r="Q541" s="337">
        <f t="shared" si="196"/>
        <v>0.70697746106983617</v>
      </c>
      <c r="R541" s="337">
        <f t="shared" si="197"/>
        <v>0.69158486107975525</v>
      </c>
      <c r="S541" s="323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338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627</v>
      </c>
      <c r="AD541" s="3" t="s">
        <v>627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323">
        <f t="shared" si="203"/>
        <v>0.94267990371312482</v>
      </c>
      <c r="AO541" s="323">
        <f t="shared" si="204"/>
        <v>0.94267990371312482</v>
      </c>
      <c r="AP541" s="323">
        <f t="shared" si="205"/>
        <v>0.90628604586528305</v>
      </c>
      <c r="AQ541" s="323">
        <f t="shared" si="206"/>
        <v>0.19377309131880904</v>
      </c>
      <c r="AR541" s="323">
        <f>Modelling_new[[#This Row],[Target E_Grid MTD
MWh]]/Modelling_new[[#This Row],[MTD DC Capcity]]/(24*CG541)</f>
        <v>0.17413994115229625</v>
      </c>
      <c r="AS541" s="323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627</v>
      </c>
      <c r="BI541" s="3" t="s">
        <v>627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323">
        <f>BM541/Modelling[[#This Row],[Comisined DC ]]/BP541</f>
        <v>0.78081288530413306</v>
      </c>
      <c r="BT541" s="337">
        <f>BN541/BQ541/Modelling[[#This Row],[Comisined DC ]]</f>
        <v>0.78081288530413318</v>
      </c>
      <c r="BU541" s="337">
        <f>BO541/BR541/Modelling[[#This Row],[Comisined DC ]]</f>
        <v>0.7563014113293971</v>
      </c>
      <c r="BV541" s="323">
        <f>BM541/(24*Modelling[[#This Row],[Comisined DC ]])</f>
        <v>0.16050042642362736</v>
      </c>
      <c r="BW541" s="323">
        <f>Modelling[[#This Row],[Target E_Grid MTD
MWh]]/Modelling[[#This Row],[MTD DC Capcity]]/(24*CG541)</f>
        <v>0.16050042642362736</v>
      </c>
      <c r="BX541" s="338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3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627</v>
      </c>
      <c r="F542" s="3" t="s">
        <v>627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323">
        <f t="shared" si="195"/>
        <v>0.70697746106983606</v>
      </c>
      <c r="Q542" s="337">
        <f t="shared" si="196"/>
        <v>0.70697746106983617</v>
      </c>
      <c r="R542" s="337">
        <f t="shared" si="197"/>
        <v>0.69167415650146014</v>
      </c>
      <c r="S542" s="323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338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627</v>
      </c>
      <c r="AD542" s="3" t="s">
        <v>627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323">
        <f t="shared" si="203"/>
        <v>0.94267990371312482</v>
      </c>
      <c r="AO542" s="323">
        <f t="shared" si="204"/>
        <v>0.94267990371312504</v>
      </c>
      <c r="AP542" s="323">
        <f t="shared" si="205"/>
        <v>0.90649717360758031</v>
      </c>
      <c r="AQ542" s="323">
        <f t="shared" si="206"/>
        <v>0.19377309131880904</v>
      </c>
      <c r="AR542" s="323">
        <f>Modelling_new[[#This Row],[Target E_Grid MTD
MWh]]/Modelling_new[[#This Row],[MTD DC Capcity]]/(24*CG542)</f>
        <v>0.17413994115229625</v>
      </c>
      <c r="AS542" s="323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627</v>
      </c>
      <c r="BI542" s="3" t="s">
        <v>627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323">
        <f>BM542/Modelling[[#This Row],[Comisined DC ]]/BP542</f>
        <v>0.78081288530413306</v>
      </c>
      <c r="BT542" s="337">
        <f>BN542/BQ542/Modelling[[#This Row],[Comisined DC ]]</f>
        <v>0.78081288530413318</v>
      </c>
      <c r="BU542" s="337">
        <f>BO542/BR542/Modelling[[#This Row],[Comisined DC ]]</f>
        <v>0.75644360708622771</v>
      </c>
      <c r="BV542" s="323">
        <f>BM542/(24*Modelling[[#This Row],[Comisined DC ]])</f>
        <v>0.16050042642362736</v>
      </c>
      <c r="BW542" s="323">
        <f>Modelling[[#This Row],[Target E_Grid MTD
MWh]]/Modelling[[#This Row],[MTD DC Capcity]]/(24*CG542)</f>
        <v>0.16050042642362738</v>
      </c>
      <c r="BX542" s="338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3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627</v>
      </c>
      <c r="F543" s="3" t="s">
        <v>627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323">
        <f t="shared" si="195"/>
        <v>0.70697746106983606</v>
      </c>
      <c r="Q543" s="337">
        <f t="shared" si="196"/>
        <v>0.70697746106983617</v>
      </c>
      <c r="R543" s="337">
        <f t="shared" si="197"/>
        <v>0.69176242185906411</v>
      </c>
      <c r="S543" s="323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338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627</v>
      </c>
      <c r="AD543" s="3" t="s">
        <v>627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323">
        <f t="shared" si="203"/>
        <v>0.94267990371312482</v>
      </c>
      <c r="AO543" s="323">
        <f t="shared" si="204"/>
        <v>0.94267990371312504</v>
      </c>
      <c r="AP543" s="323">
        <f t="shared" si="205"/>
        <v>0.90670586589345803</v>
      </c>
      <c r="AQ543" s="323">
        <f t="shared" si="206"/>
        <v>0.19377309131880904</v>
      </c>
      <c r="AR543" s="323">
        <f>Modelling_new[[#This Row],[Target E_Grid MTD
MWh]]/Modelling_new[[#This Row],[MTD DC Capcity]]/(24*CG543)</f>
        <v>0.17413994115229628</v>
      </c>
      <c r="AS543" s="323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627</v>
      </c>
      <c r="BI543" s="3" t="s">
        <v>627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323">
        <f>BM543/Modelling[[#This Row],[Comisined DC ]]/BP543</f>
        <v>0.78081288530413306</v>
      </c>
      <c r="BT543" s="337">
        <f>BN543/BQ543/Modelling[[#This Row],[Comisined DC ]]</f>
        <v>0.78081288530413329</v>
      </c>
      <c r="BU543" s="337">
        <f>BO543/BR543/Modelling[[#This Row],[Comisined DC ]]</f>
        <v>0.75658416254905902</v>
      </c>
      <c r="BV543" s="323">
        <f>BM543/(24*Modelling[[#This Row],[Comisined DC ]])</f>
        <v>0.16050042642362736</v>
      </c>
      <c r="BW543" s="323">
        <f>Modelling[[#This Row],[Target E_Grid MTD
MWh]]/Modelling[[#This Row],[MTD DC Capcity]]/(24*CG543)</f>
        <v>0.16050042642362738</v>
      </c>
      <c r="BX543" s="338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3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627</v>
      </c>
      <c r="F544" s="3" t="s">
        <v>627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323">
        <f t="shared" si="195"/>
        <v>0.70697746106983606</v>
      </c>
      <c r="Q544" s="337">
        <f t="shared" si="196"/>
        <v>0.70697746106983606</v>
      </c>
      <c r="R544" s="337">
        <f t="shared" si="197"/>
        <v>0.69184967487375715</v>
      </c>
      <c r="S544" s="323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338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627</v>
      </c>
      <c r="AD544" s="3" t="s">
        <v>627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323">
        <f t="shared" si="203"/>
        <v>0.94267990371312482</v>
      </c>
      <c r="AO544" s="323">
        <f t="shared" si="204"/>
        <v>0.94267990371312504</v>
      </c>
      <c r="AP544" s="323">
        <f t="shared" si="205"/>
        <v>0.90691216462243018</v>
      </c>
      <c r="AQ544" s="323">
        <f t="shared" si="206"/>
        <v>0.19377309131880904</v>
      </c>
      <c r="AR544" s="323">
        <f>Modelling_new[[#This Row],[Target E_Grid MTD
MWh]]/Modelling_new[[#This Row],[MTD DC Capcity]]/(24*CG544)</f>
        <v>0.17413994115229628</v>
      </c>
      <c r="AS544" s="323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627</v>
      </c>
      <c r="BI544" s="3" t="s">
        <v>627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323">
        <f>BM544/Modelling[[#This Row],[Comisined DC ]]/BP544</f>
        <v>0.78081288530413306</v>
      </c>
      <c r="BT544" s="337">
        <f>BN544/BQ544/Modelling[[#This Row],[Comisined DC ]]</f>
        <v>0.78081288530413318</v>
      </c>
      <c r="BU544" s="337">
        <f>BO544/BR544/Modelling[[#This Row],[Comisined DC ]]</f>
        <v>0.75672310593745618</v>
      </c>
      <c r="BV544" s="323">
        <f>BM544/(24*Modelling[[#This Row],[Comisined DC ]])</f>
        <v>0.16050042642362736</v>
      </c>
      <c r="BW544" s="323">
        <f>Modelling[[#This Row],[Target E_Grid MTD
MWh]]/Modelling[[#This Row],[MTD DC Capcity]]/(24*CG544)</f>
        <v>0.16050042642362738</v>
      </c>
      <c r="BX544" s="338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3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627</v>
      </c>
      <c r="F545" s="3" t="s">
        <v>627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323">
        <f t="shared" si="195"/>
        <v>0.70697746106983606</v>
      </c>
      <c r="Q545" s="337">
        <f t="shared" si="196"/>
        <v>0.70697746106983606</v>
      </c>
      <c r="R545" s="337">
        <f t="shared" si="197"/>
        <v>0.69193593286254662</v>
      </c>
      <c r="S545" s="323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338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627</v>
      </c>
      <c r="AD545" s="3" t="s">
        <v>627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323">
        <f t="shared" si="203"/>
        <v>0.94267990371312482</v>
      </c>
      <c r="AO545" s="323">
        <f t="shared" si="204"/>
        <v>0.94267990371312504</v>
      </c>
      <c r="AP545" s="323">
        <f t="shared" si="205"/>
        <v>0.90711611073837362</v>
      </c>
      <c r="AQ545" s="323">
        <f t="shared" si="206"/>
        <v>0.19377309131880904</v>
      </c>
      <c r="AR545" s="323">
        <f>Modelling_new[[#This Row],[Target E_Grid MTD
MWh]]/Modelling_new[[#This Row],[MTD DC Capcity]]/(24*CG545)</f>
        <v>0.17413994115229628</v>
      </c>
      <c r="AS545" s="323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627</v>
      </c>
      <c r="BI545" s="3" t="s">
        <v>627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323">
        <f>BM545/Modelling[[#This Row],[Comisined DC ]]/BP545</f>
        <v>0.78081288530413306</v>
      </c>
      <c r="BT545" s="337">
        <f>BN545/BQ545/Modelling[[#This Row],[Comisined DC ]]</f>
        <v>0.78081288530413318</v>
      </c>
      <c r="BU545" s="337">
        <f>BO545/BR545/Modelling[[#This Row],[Comisined DC ]]</f>
        <v>0.75686046482735714</v>
      </c>
      <c r="BV545" s="323">
        <f>BM545/(24*Modelling[[#This Row],[Comisined DC ]])</f>
        <v>0.16050042642362736</v>
      </c>
      <c r="BW545" s="323">
        <f>Modelling[[#This Row],[Target E_Grid MTD
MWh]]/Modelling[[#This Row],[MTD DC Capcity]]/(24*CG545)</f>
        <v>0.16050042642362741</v>
      </c>
      <c r="BX545" s="338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3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627</v>
      </c>
      <c r="F546" s="3" t="s">
        <v>627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323">
        <f t="shared" si="195"/>
        <v>0.70697746106983606</v>
      </c>
      <c r="Q546" s="337">
        <f t="shared" si="196"/>
        <v>0.70697746106983606</v>
      </c>
      <c r="R546" s="337">
        <f t="shared" si="197"/>
        <v>0.6920212127497164</v>
      </c>
      <c r="S546" s="323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338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627</v>
      </c>
      <c r="AD546" s="3" t="s">
        <v>627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323">
        <f t="shared" si="203"/>
        <v>0.94267990371312482</v>
      </c>
      <c r="AO546" s="323">
        <f t="shared" si="204"/>
        <v>0.94267990371312482</v>
      </c>
      <c r="AP546" s="323">
        <f t="shared" si="205"/>
        <v>0.90731774425661871</v>
      </c>
      <c r="AQ546" s="323">
        <f t="shared" si="206"/>
        <v>0.19377309131880904</v>
      </c>
      <c r="AR546" s="323">
        <f>Modelling_new[[#This Row],[Target E_Grid MTD
MWh]]/Modelling_new[[#This Row],[MTD DC Capcity]]/(24*CG546)</f>
        <v>0.17413994115229628</v>
      </c>
      <c r="AS546" s="323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627</v>
      </c>
      <c r="BI546" s="3" t="s">
        <v>627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323">
        <f>BM546/Modelling[[#This Row],[Comisined DC ]]/BP546</f>
        <v>0.78081288530413306</v>
      </c>
      <c r="BT546" s="337">
        <f>BN546/BQ546/Modelling[[#This Row],[Comisined DC ]]</f>
        <v>0.78081288530413295</v>
      </c>
      <c r="BU546" s="337">
        <f>BO546/BR546/Modelling[[#This Row],[Comisined DC ]]</f>
        <v>0.7569962661693187</v>
      </c>
      <c r="BV546" s="323">
        <f>BM546/(24*Modelling[[#This Row],[Comisined DC ]])</f>
        <v>0.16050042642362736</v>
      </c>
      <c r="BW546" s="323">
        <f>Modelling[[#This Row],[Target E_Grid MTD
MWh]]/Modelling[[#This Row],[MTD DC Capcity]]/(24*CG546)</f>
        <v>0.16050042642362736</v>
      </c>
      <c r="BX546" s="338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3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627</v>
      </c>
      <c r="F547" s="3" t="s">
        <v>627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323">
        <f t="shared" si="195"/>
        <v>0.70697746106983606</v>
      </c>
      <c r="Q547" s="337">
        <f t="shared" si="196"/>
        <v>0.70697746106983606</v>
      </c>
      <c r="R547" s="337">
        <f t="shared" si="197"/>
        <v>0.6921055310778963</v>
      </c>
      <c r="S547" s="323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338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627</v>
      </c>
      <c r="AD547" s="3" t="s">
        <v>627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323">
        <f t="shared" si="203"/>
        <v>0.94267990371312482</v>
      </c>
      <c r="AO547" s="323">
        <f t="shared" si="204"/>
        <v>0.94267990371312471</v>
      </c>
      <c r="AP547" s="323">
        <f t="shared" si="205"/>
        <v>0.90751710429012344</v>
      </c>
      <c r="AQ547" s="323">
        <f t="shared" si="206"/>
        <v>0.19377309131880904</v>
      </c>
      <c r="AR547" s="323">
        <f>Modelling_new[[#This Row],[Target E_Grid MTD
MWh]]/Modelling_new[[#This Row],[MTD DC Capcity]]/(24*CG547)</f>
        <v>0.17413994115229628</v>
      </c>
      <c r="AS547" s="323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627</v>
      </c>
      <c r="BI547" s="3" t="s">
        <v>627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323">
        <f>BM547/Modelling[[#This Row],[Comisined DC ]]/BP547</f>
        <v>0.78081288530413306</v>
      </c>
      <c r="BT547" s="337">
        <f>BN547/BQ547/Modelling[[#This Row],[Comisined DC ]]</f>
        <v>0.78081288530413295</v>
      </c>
      <c r="BU547" s="337">
        <f>BO547/BR547/Modelling[[#This Row],[Comisined DC ]]</f>
        <v>0.75713053630614469</v>
      </c>
      <c r="BV547" s="323">
        <f>BM547/(24*Modelling[[#This Row],[Comisined DC ]])</f>
        <v>0.16050042642362736</v>
      </c>
      <c r="BW547" s="323">
        <f>Modelling[[#This Row],[Target E_Grid MTD
MWh]]/Modelling[[#This Row],[MTD DC Capcity]]/(24*CG547)</f>
        <v>0.16050042642362736</v>
      </c>
      <c r="BX547" s="338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3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627</v>
      </c>
      <c r="F548" s="3" t="s">
        <v>627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323">
        <f t="shared" si="195"/>
        <v>0.70697746106983606</v>
      </c>
      <c r="Q548" s="337">
        <f t="shared" si="196"/>
        <v>0.70697746106983606</v>
      </c>
      <c r="R548" s="337">
        <f t="shared" si="197"/>
        <v>0.69218890401876021</v>
      </c>
      <c r="S548" s="323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338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627</v>
      </c>
      <c r="AD548" s="3" t="s">
        <v>627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323">
        <f t="shared" si="203"/>
        <v>0.94267990371312482</v>
      </c>
      <c r="AO548" s="323">
        <f t="shared" si="204"/>
        <v>0.94267990371312471</v>
      </c>
      <c r="AP548" s="323">
        <f t="shared" si="205"/>
        <v>0.90771422907476751</v>
      </c>
      <c r="AQ548" s="323">
        <f t="shared" si="206"/>
        <v>0.19377309131880904</v>
      </c>
      <c r="AR548" s="323">
        <f>Modelling_new[[#This Row],[Target E_Grid MTD
MWh]]/Modelling_new[[#This Row],[MTD DC Capcity]]/(24*CG548)</f>
        <v>0.17413994115229625</v>
      </c>
      <c r="AS548" s="323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627</v>
      </c>
      <c r="BI548" s="3" t="s">
        <v>627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323">
        <f>BM548/Modelling[[#This Row],[Comisined DC ]]/BP548</f>
        <v>0.78081288530413306</v>
      </c>
      <c r="BT548" s="337">
        <f>BN548/BQ548/Modelling[[#This Row],[Comisined DC ]]</f>
        <v>0.78081288530413295</v>
      </c>
      <c r="BU548" s="337">
        <f>BO548/BR548/Modelling[[#This Row],[Comisined DC ]]</f>
        <v>0.75726330098992145</v>
      </c>
      <c r="BV548" s="323">
        <f>BM548/(24*Modelling[[#This Row],[Comisined DC ]])</f>
        <v>0.16050042642362736</v>
      </c>
      <c r="BW548" s="323">
        <f>Modelling[[#This Row],[Target E_Grid MTD
MWh]]/Modelling[[#This Row],[MTD DC Capcity]]/(24*CG548)</f>
        <v>0.16050042642362738</v>
      </c>
      <c r="BX548" s="338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3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627</v>
      </c>
      <c r="F549" s="3" t="s">
        <v>627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323">
        <f t="shared" si="195"/>
        <v>0.70697746106983606</v>
      </c>
      <c r="Q549" s="337">
        <f t="shared" si="196"/>
        <v>0.70697746106983583</v>
      </c>
      <c r="R549" s="337">
        <f t="shared" si="197"/>
        <v>0.69227134738336626</v>
      </c>
      <c r="S549" s="323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338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627</v>
      </c>
      <c r="AD549" s="3" t="s">
        <v>627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323">
        <f t="shared" si="203"/>
        <v>0.94267990371312482</v>
      </c>
      <c r="AO549" s="323">
        <f t="shared" si="204"/>
        <v>0.94267990371312471</v>
      </c>
      <c r="AP549" s="323">
        <f t="shared" si="205"/>
        <v>0.9079091559938004</v>
      </c>
      <c r="AQ549" s="323">
        <f t="shared" si="206"/>
        <v>0.19377309131880904</v>
      </c>
      <c r="AR549" s="323">
        <f>Modelling_new[[#This Row],[Target E_Grid MTD
MWh]]/Modelling_new[[#This Row],[MTD DC Capcity]]/(24*CG549)</f>
        <v>0.17413994115229625</v>
      </c>
      <c r="AS549" s="323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627</v>
      </c>
      <c r="BI549" s="3" t="s">
        <v>627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323">
        <f>BM549/Modelling[[#This Row],[Comisined DC ]]/BP549</f>
        <v>0.78081288530413306</v>
      </c>
      <c r="BT549" s="337">
        <f>BN549/BQ549/Modelling[[#This Row],[Comisined DC ]]</f>
        <v>0.78081288530413295</v>
      </c>
      <c r="BU549" s="337">
        <f>BO549/BR549/Modelling[[#This Row],[Comisined DC ]]</f>
        <v>0.75739458539848348</v>
      </c>
      <c r="BV549" s="323">
        <f>BM549/(24*Modelling[[#This Row],[Comisined DC ]])</f>
        <v>0.16050042642362736</v>
      </c>
      <c r="BW549" s="323">
        <f>Modelling[[#This Row],[Target E_Grid MTD
MWh]]/Modelling[[#This Row],[MTD DC Capcity]]/(24*CG549)</f>
        <v>0.16050042642362738</v>
      </c>
      <c r="BX549" s="338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3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627</v>
      </c>
      <c r="F550" s="3" t="s">
        <v>627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323">
        <f t="shared" si="195"/>
        <v>0.70697746106983606</v>
      </c>
      <c r="Q550" s="337">
        <f t="shared" si="196"/>
        <v>0.70697746106983583</v>
      </c>
      <c r="R550" s="337">
        <f t="shared" si="197"/>
        <v>0.6923528766321525</v>
      </c>
      <c r="S550" s="323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338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627</v>
      </c>
      <c r="AD550" s="3" t="s">
        <v>627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323">
        <f t="shared" si="203"/>
        <v>0.94267990371312482</v>
      </c>
      <c r="AO550" s="323">
        <f t="shared" si="204"/>
        <v>0.94267990371312471</v>
      </c>
      <c r="AP550" s="323">
        <f t="shared" si="205"/>
        <v>0.90810192160147429</v>
      </c>
      <c r="AQ550" s="323">
        <f t="shared" si="206"/>
        <v>0.19377309131880904</v>
      </c>
      <c r="AR550" s="323">
        <f>Modelling_new[[#This Row],[Target E_Grid MTD
MWh]]/Modelling_new[[#This Row],[MTD DC Capcity]]/(24*CG550)</f>
        <v>0.17413994115229625</v>
      </c>
      <c r="AS550" s="323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627</v>
      </c>
      <c r="BI550" s="3" t="s">
        <v>627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323">
        <f>BM550/Modelling[[#This Row],[Comisined DC ]]/BP550</f>
        <v>0.78081288530413306</v>
      </c>
      <c r="BT550" s="337">
        <f>BN550/BQ550/Modelling[[#This Row],[Comisined DC ]]</f>
        <v>0.78081288530413284</v>
      </c>
      <c r="BU550" s="337">
        <f>BO550/BR550/Modelling[[#This Row],[Comisined DC ]]</f>
        <v>0.75752441415133187</v>
      </c>
      <c r="BV550" s="323">
        <f>BM550/(24*Modelling[[#This Row],[Comisined DC ]])</f>
        <v>0.16050042642362736</v>
      </c>
      <c r="BW550" s="323">
        <f>Modelling[[#This Row],[Target E_Grid MTD
MWh]]/Modelling[[#This Row],[MTD DC Capcity]]/(24*CG550)</f>
        <v>0.16050042642362741</v>
      </c>
      <c r="BX550" s="338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3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627</v>
      </c>
      <c r="F551" s="3" t="s">
        <v>627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323">
        <f t="shared" si="195"/>
        <v>0.70697746106983606</v>
      </c>
      <c r="Q551" s="337">
        <f t="shared" si="196"/>
        <v>0.70697746106983583</v>
      </c>
      <c r="R551" s="337">
        <f t="shared" si="197"/>
        <v>0.69243350688460292</v>
      </c>
      <c r="S551" s="323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338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627</v>
      </c>
      <c r="AD551" s="3" t="s">
        <v>627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323">
        <f t="shared" si="203"/>
        <v>0.94267990371312482</v>
      </c>
      <c r="AO551" s="323">
        <f t="shared" si="204"/>
        <v>0.94267990371312471</v>
      </c>
      <c r="AP551" s="323">
        <f t="shared" si="205"/>
        <v>0.90829256164589867</v>
      </c>
      <c r="AQ551" s="323">
        <f t="shared" si="206"/>
        <v>0.19377309131880904</v>
      </c>
      <c r="AR551" s="323">
        <f>Modelling_new[[#This Row],[Target E_Grid MTD
MWh]]/Modelling_new[[#This Row],[MTD DC Capcity]]/(24*CG551)</f>
        <v>0.17413994115229622</v>
      </c>
      <c r="AS551" s="323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627</v>
      </c>
      <c r="BI551" s="3" t="s">
        <v>627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323">
        <f>BM551/Modelling[[#This Row],[Comisined DC ]]/BP551</f>
        <v>0.78081288530413306</v>
      </c>
      <c r="BT551" s="337">
        <f>BN551/BQ551/Modelling[[#This Row],[Comisined DC ]]</f>
        <v>0.78081288530413284</v>
      </c>
      <c r="BU551" s="337">
        <f>BO551/BR551/Modelling[[#This Row],[Comisined DC ]]</f>
        <v>0.75765281132502482</v>
      </c>
      <c r="BV551" s="323">
        <f>BM551/(24*Modelling[[#This Row],[Comisined DC ]])</f>
        <v>0.16050042642362736</v>
      </c>
      <c r="BW551" s="323">
        <f>Modelling[[#This Row],[Target E_Grid MTD
MWh]]/Modelling[[#This Row],[MTD DC Capcity]]/(24*CG551)</f>
        <v>0.16050042642362744</v>
      </c>
      <c r="BX551" s="338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3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627</v>
      </c>
      <c r="F552" s="3" t="s">
        <v>627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323">
        <f t="shared" si="195"/>
        <v>0.70697746106983606</v>
      </c>
      <c r="Q552" s="337">
        <f t="shared" si="196"/>
        <v>0.70697746106983583</v>
      </c>
      <c r="R552" s="337">
        <f t="shared" si="197"/>
        <v>0.69251325292859423</v>
      </c>
      <c r="S552" s="323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338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627</v>
      </c>
      <c r="AD552" s="3" t="s">
        <v>627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323">
        <f t="shared" si="203"/>
        <v>0.94267990371312482</v>
      </c>
      <c r="AO552" s="323">
        <f t="shared" si="204"/>
        <v>0.94267990371312471</v>
      </c>
      <c r="AP552" s="323">
        <f t="shared" si="205"/>
        <v>0.90848111109113983</v>
      </c>
      <c r="AQ552" s="323">
        <f t="shared" si="206"/>
        <v>0.19377309131880904</v>
      </c>
      <c r="AR552" s="323">
        <f>Modelling_new[[#This Row],[Target E_Grid MTD
MWh]]/Modelling_new[[#This Row],[MTD DC Capcity]]/(24*CG552)</f>
        <v>0.17413994115229622</v>
      </c>
      <c r="AS552" s="323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627</v>
      </c>
      <c r="BI552" s="3" t="s">
        <v>627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323">
        <f>BM552/Modelling[[#This Row],[Comisined DC ]]/BP552</f>
        <v>0.78081288530413306</v>
      </c>
      <c r="BT552" s="337">
        <f>BN552/BQ552/Modelling[[#This Row],[Comisined DC ]]</f>
        <v>0.78081288530413284</v>
      </c>
      <c r="BU552" s="337">
        <f>BO552/BR552/Modelling[[#This Row],[Comisined DC ]]</f>
        <v>0.75777980046806381</v>
      </c>
      <c r="BV552" s="323">
        <f>BM552/(24*Modelling[[#This Row],[Comisined DC ]])</f>
        <v>0.16050042642362736</v>
      </c>
      <c r="BW552" s="323">
        <f>Modelling[[#This Row],[Target E_Grid MTD
MWh]]/Modelling[[#This Row],[MTD DC Capcity]]/(24*CG552)</f>
        <v>0.16050042642362741</v>
      </c>
      <c r="BX552" s="338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3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627</v>
      </c>
      <c r="F553" s="3" t="s">
        <v>627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323">
        <f t="shared" si="195"/>
        <v>0.70697746106983606</v>
      </c>
      <c r="Q553" s="337">
        <f t="shared" si="196"/>
        <v>0.70697746106983583</v>
      </c>
      <c r="R553" s="337">
        <f t="shared" si="197"/>
        <v>0.69259212922943814</v>
      </c>
      <c r="S553" s="323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338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627</v>
      </c>
      <c r="AD553" s="3" t="s">
        <v>627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323">
        <f t="shared" si="203"/>
        <v>0.94267990371312482</v>
      </c>
      <c r="AO553" s="323">
        <f t="shared" si="204"/>
        <v>0.94267990371312471</v>
      </c>
      <c r="AP553" s="323">
        <f t="shared" si="205"/>
        <v>0.9086676041385997</v>
      </c>
      <c r="AQ553" s="323">
        <f t="shared" si="206"/>
        <v>0.19377309131880904</v>
      </c>
      <c r="AR553" s="323">
        <f>Modelling_new[[#This Row],[Target E_Grid MTD
MWh]]/Modelling_new[[#This Row],[MTD DC Capcity]]/(24*CG553)</f>
        <v>0.17413994115229622</v>
      </c>
      <c r="AS553" s="323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627</v>
      </c>
      <c r="BI553" s="3" t="s">
        <v>627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323">
        <f>BM553/Modelling[[#This Row],[Comisined DC ]]/BP553</f>
        <v>0.78081288530413306</v>
      </c>
      <c r="BT553" s="337">
        <f>BN553/BQ553/Modelling[[#This Row],[Comisined DC ]]</f>
        <v>0.78081288530413284</v>
      </c>
      <c r="BU553" s="337">
        <f>BO553/BR553/Modelling[[#This Row],[Comisined DC ]]</f>
        <v>0.75790540461529077</v>
      </c>
      <c r="BV553" s="323">
        <f>BM553/(24*Modelling[[#This Row],[Comisined DC ]])</f>
        <v>0.16050042642362736</v>
      </c>
      <c r="BW553" s="323">
        <f>Modelling[[#This Row],[Target E_Grid MTD
MWh]]/Modelling[[#This Row],[MTD DC Capcity]]/(24*CG553)</f>
        <v>0.16050042642362744</v>
      </c>
      <c r="BX553" s="338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3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627</v>
      </c>
      <c r="F554" s="3" t="s">
        <v>627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323">
        <f t="shared" si="195"/>
        <v>0.70697746106983606</v>
      </c>
      <c r="Q554" s="337">
        <f t="shared" si="196"/>
        <v>0.70697746106983583</v>
      </c>
      <c r="R554" s="337">
        <f t="shared" si="197"/>
        <v>0.6926701499386283</v>
      </c>
      <c r="S554" s="323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338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627</v>
      </c>
      <c r="AD554" s="3" t="s">
        <v>627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323">
        <f t="shared" si="203"/>
        <v>0.94267990371312482</v>
      </c>
      <c r="AO554" s="323">
        <f t="shared" si="204"/>
        <v>0.94267990371312471</v>
      </c>
      <c r="AP554" s="323">
        <f t="shared" si="205"/>
        <v>0.90885207424769654</v>
      </c>
      <c r="AQ554" s="323">
        <f t="shared" si="206"/>
        <v>0.19377309131880904</v>
      </c>
      <c r="AR554" s="323">
        <f>Modelling_new[[#This Row],[Target E_Grid MTD
MWh]]/Modelling_new[[#This Row],[MTD DC Capcity]]/(24*CG554)</f>
        <v>0.17413994115229622</v>
      </c>
      <c r="AS554" s="323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627</v>
      </c>
      <c r="BI554" s="3" t="s">
        <v>627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323">
        <f>BM554/Modelling[[#This Row],[Comisined DC ]]/BP554</f>
        <v>0.78081288530413306</v>
      </c>
      <c r="BT554" s="337">
        <f>BN554/BQ554/Modelling[[#This Row],[Comisined DC ]]</f>
        <v>0.78081288530413284</v>
      </c>
      <c r="BU554" s="337">
        <f>BO554/BR554/Modelling[[#This Row],[Comisined DC ]]</f>
        <v>0.75802964630181791</v>
      </c>
      <c r="BV554" s="323">
        <f>BM554/(24*Modelling[[#This Row],[Comisined DC ]])</f>
        <v>0.16050042642362736</v>
      </c>
      <c r="BW554" s="323">
        <f>Modelling[[#This Row],[Target E_Grid MTD
MWh]]/Modelling[[#This Row],[MTD DC Capcity]]/(24*CG554)</f>
        <v>0.16050042642362747</v>
      </c>
      <c r="BX554" s="338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3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627</v>
      </c>
      <c r="F555" s="3" t="s">
        <v>627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323">
        <f t="shared" si="195"/>
        <v>0.70697746106983606</v>
      </c>
      <c r="Q555" s="337">
        <f t="shared" si="196"/>
        <v>0.70697746106983583</v>
      </c>
      <c r="R555" s="337">
        <f t="shared" si="197"/>
        <v>0.6927473289023045</v>
      </c>
      <c r="S555" s="323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338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627</v>
      </c>
      <c r="AD555" s="3" t="s">
        <v>627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323">
        <f t="shared" si="203"/>
        <v>0.94267990371312482</v>
      </c>
      <c r="AO555" s="323">
        <f t="shared" si="204"/>
        <v>0.94267990371312471</v>
      </c>
      <c r="AP555" s="323">
        <f t="shared" si="205"/>
        <v>0.90903455415587864</v>
      </c>
      <c r="AQ555" s="323">
        <f t="shared" si="206"/>
        <v>0.19377309131880904</v>
      </c>
      <c r="AR555" s="323">
        <f>Modelling_new[[#This Row],[Target E_Grid MTD
MWh]]/Modelling_new[[#This Row],[MTD DC Capcity]]/(24*CG555)</f>
        <v>0.1741399411522962</v>
      </c>
      <c r="AS555" s="323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627</v>
      </c>
      <c r="BI555" s="3" t="s">
        <v>627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323">
        <f>BM555/Modelling[[#This Row],[Comisined DC ]]/BP555</f>
        <v>0.78081288530413306</v>
      </c>
      <c r="BT555" s="337">
        <f>BN555/BQ555/Modelling[[#This Row],[Comisined DC ]]</f>
        <v>0.78081288530413284</v>
      </c>
      <c r="BU555" s="337">
        <f>BO555/BR555/Modelling[[#This Row],[Comisined DC ]]</f>
        <v>0.75815254757650619</v>
      </c>
      <c r="BV555" s="323">
        <f>BM555/(24*Modelling[[#This Row],[Comisined DC ]])</f>
        <v>0.16050042642362736</v>
      </c>
      <c r="BW555" s="323">
        <f>Modelling[[#This Row],[Target E_Grid MTD
MWh]]/Modelling[[#This Row],[MTD DC Capcity]]/(24*CG555)</f>
        <v>0.16050042642362747</v>
      </c>
      <c r="BX555" s="338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3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627</v>
      </c>
      <c r="F556" s="3" t="s">
        <v>627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323">
        <f t="shared" si="195"/>
        <v>0.70697746106983606</v>
      </c>
      <c r="Q556" s="337">
        <f t="shared" si="196"/>
        <v>0.70697746106983583</v>
      </c>
      <c r="R556" s="337">
        <f t="shared" si="197"/>
        <v>0.69282367966944469</v>
      </c>
      <c r="S556" s="323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338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627</v>
      </c>
      <c r="AD556" s="3" t="s">
        <v>627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323">
        <f t="shared" si="203"/>
        <v>0.94267990371312482</v>
      </c>
      <c r="AO556" s="323">
        <f t="shared" si="204"/>
        <v>0.94267990371312449</v>
      </c>
      <c r="AP556" s="323">
        <f t="shared" si="205"/>
        <v>0.90921507589799277</v>
      </c>
      <c r="AQ556" s="323">
        <f t="shared" si="206"/>
        <v>0.19377309131880904</v>
      </c>
      <c r="AR556" s="323">
        <f>Modelling_new[[#This Row],[Target E_Grid MTD
MWh]]/Modelling_new[[#This Row],[MTD DC Capcity]]/(24*CG556)</f>
        <v>0.17413994115229622</v>
      </c>
      <c r="AS556" s="323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627</v>
      </c>
      <c r="BI556" s="3" t="s">
        <v>627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323">
        <f>BM556/Modelling[[#This Row],[Comisined DC ]]/BP556</f>
        <v>0.78081288530413306</v>
      </c>
      <c r="BT556" s="337">
        <f>BN556/BQ556/Modelling[[#This Row],[Comisined DC ]]</f>
        <v>0.78081288530413273</v>
      </c>
      <c r="BU556" s="337">
        <f>BO556/BR556/Modelling[[#This Row],[Comisined DC ]]</f>
        <v>0.75827413001501009</v>
      </c>
      <c r="BV556" s="323">
        <f>BM556/(24*Modelling[[#This Row],[Comisined DC ]])</f>
        <v>0.16050042642362736</v>
      </c>
      <c r="BW556" s="323">
        <f>Modelling[[#This Row],[Target E_Grid MTD
MWh]]/Modelling[[#This Row],[MTD DC Capcity]]/(24*CG556)</f>
        <v>0.16050042642362744</v>
      </c>
      <c r="BX556" s="338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3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627</v>
      </c>
      <c r="F557" s="3" t="s">
        <v>627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323">
        <f t="shared" si="195"/>
        <v>0.70697746106983606</v>
      </c>
      <c r="Q557" s="337">
        <f t="shared" si="196"/>
        <v>0.70697746106983583</v>
      </c>
      <c r="R557" s="337">
        <f t="shared" si="197"/>
        <v>0.69289921549979439</v>
      </c>
      <c r="S557" s="323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338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627</v>
      </c>
      <c r="AD557" s="3" t="s">
        <v>627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323">
        <f t="shared" si="203"/>
        <v>0.94267990371312482</v>
      </c>
      <c r="AO557" s="323">
        <f t="shared" si="204"/>
        <v>0.94267990371312438</v>
      </c>
      <c r="AP557" s="323">
        <f t="shared" si="205"/>
        <v>0.90939367082503175</v>
      </c>
      <c r="AQ557" s="323">
        <f t="shared" si="206"/>
        <v>0.19377309131880904</v>
      </c>
      <c r="AR557" s="323">
        <f>Modelling_new[[#This Row],[Target E_Grid MTD
MWh]]/Modelling_new[[#This Row],[MTD DC Capcity]]/(24*CG557)</f>
        <v>0.1741399411522962</v>
      </c>
      <c r="AS557" s="323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627</v>
      </c>
      <c r="BI557" s="3" t="s">
        <v>627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323">
        <f>BM557/Modelling[[#This Row],[Comisined DC ]]/BP557</f>
        <v>0.78081288530413306</v>
      </c>
      <c r="BT557" s="337">
        <f>BN557/BQ557/Modelling[[#This Row],[Comisined DC ]]</f>
        <v>0.78081288530413273</v>
      </c>
      <c r="BU557" s="337">
        <f>BO557/BR557/Modelling[[#This Row],[Comisined DC ]]</f>
        <v>0.75839441473240476</v>
      </c>
      <c r="BV557" s="323">
        <f>BM557/(24*Modelling[[#This Row],[Comisined DC ]])</f>
        <v>0.16050042642362736</v>
      </c>
      <c r="BW557" s="323">
        <f>Modelling[[#This Row],[Target E_Grid MTD
MWh]]/Modelling[[#This Row],[MTD DC Capcity]]/(24*CG557)</f>
        <v>0.16050042642362744</v>
      </c>
      <c r="BX557" s="338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3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627</v>
      </c>
      <c r="F558" s="3" t="s">
        <v>627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323">
        <f t="shared" si="195"/>
        <v>0.70697746106983606</v>
      </c>
      <c r="Q558" s="337">
        <f t="shared" si="196"/>
        <v>0.70697746106983572</v>
      </c>
      <c r="R558" s="337">
        <f t="shared" si="197"/>
        <v>0.69297394937154355</v>
      </c>
      <c r="S558" s="323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338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627</v>
      </c>
      <c r="AD558" s="3" t="s">
        <v>627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323">
        <f t="shared" si="203"/>
        <v>0.94267990371312482</v>
      </c>
      <c r="AO558" s="323">
        <f t="shared" si="204"/>
        <v>0.94267990371312438</v>
      </c>
      <c r="AP558" s="323">
        <f t="shared" si="205"/>
        <v>0.90957036962228577</v>
      </c>
      <c r="AQ558" s="323">
        <f t="shared" si="206"/>
        <v>0.19377309131880904</v>
      </c>
      <c r="AR558" s="323">
        <f>Modelling_new[[#This Row],[Target E_Grid MTD
MWh]]/Modelling_new[[#This Row],[MTD DC Capcity]]/(24*CG558)</f>
        <v>0.17413994115229617</v>
      </c>
      <c r="AS558" s="323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627</v>
      </c>
      <c r="BI558" s="3" t="s">
        <v>627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323">
        <f>BM558/Modelling[[#This Row],[Comisined DC ]]/BP558</f>
        <v>0.78081288530413306</v>
      </c>
      <c r="BT558" s="337">
        <f>BN558/BQ558/Modelling[[#This Row],[Comisined DC ]]</f>
        <v>0.78081288530413273</v>
      </c>
      <c r="BU558" s="337">
        <f>BO558/BR558/Modelling[[#This Row],[Comisined DC ]]</f>
        <v>0.75851342239541109</v>
      </c>
      <c r="BV558" s="323">
        <f>BM558/(24*Modelling[[#This Row],[Comisined DC ]])</f>
        <v>0.16050042642362736</v>
      </c>
      <c r="BW558" s="323">
        <f>Modelling[[#This Row],[Target E_Grid MTD
MWh]]/Modelling[[#This Row],[MTD DC Capcity]]/(24*CG558)</f>
        <v>0.16050042642362747</v>
      </c>
      <c r="BX558" s="338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3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627</v>
      </c>
      <c r="F559" s="3" t="s">
        <v>627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323">
        <f t="shared" si="195"/>
        <v>0.70697746106983606</v>
      </c>
      <c r="Q559" s="337">
        <f t="shared" si="196"/>
        <v>0.70697746106983572</v>
      </c>
      <c r="R559" s="337">
        <f t="shared" si="197"/>
        <v>0.69304789398876021</v>
      </c>
      <c r="S559" s="323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338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627</v>
      </c>
      <c r="AD559" s="3" t="s">
        <v>627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323">
        <f t="shared" si="203"/>
        <v>0.94267990371312482</v>
      </c>
      <c r="AO559" s="323">
        <f t="shared" si="204"/>
        <v>0.94267990371312427</v>
      </c>
      <c r="AP559" s="323">
        <f t="shared" si="205"/>
        <v>0.90974520232691836</v>
      </c>
      <c r="AQ559" s="323">
        <f t="shared" si="206"/>
        <v>0.19377309131880904</v>
      </c>
      <c r="AR559" s="323">
        <f>Modelling_new[[#This Row],[Target E_Grid MTD
MWh]]/Modelling_new[[#This Row],[MTD DC Capcity]]/(24*CG559)</f>
        <v>0.17413994115229614</v>
      </c>
      <c r="AS559" s="323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627</v>
      </c>
      <c r="BI559" s="3" t="s">
        <v>627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323">
        <f>BM559/Modelling[[#This Row],[Comisined DC ]]/BP559</f>
        <v>0.78081288530413306</v>
      </c>
      <c r="BT559" s="337">
        <f>BN559/BQ559/Modelling[[#This Row],[Comisined DC ]]</f>
        <v>0.78081288530413273</v>
      </c>
      <c r="BU559" s="337">
        <f>BO559/BR559/Modelling[[#This Row],[Comisined DC ]]</f>
        <v>0.75863117323423279</v>
      </c>
      <c r="BV559" s="323">
        <f>BM559/(24*Modelling[[#This Row],[Comisined DC ]])</f>
        <v>0.16050042642362736</v>
      </c>
      <c r="BW559" s="323">
        <f>Modelling[[#This Row],[Target E_Grid MTD
MWh]]/Modelling[[#This Row],[MTD DC Capcity]]/(24*CG559)</f>
        <v>0.16050042642362744</v>
      </c>
      <c r="BX559" s="338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3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627</v>
      </c>
      <c r="F560" s="3" t="s">
        <v>627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323">
        <f t="shared" si="195"/>
        <v>0.70697746106983606</v>
      </c>
      <c r="Q560" s="337">
        <f t="shared" si="196"/>
        <v>0.70697746106983572</v>
      </c>
      <c r="R560" s="337">
        <f t="shared" si="197"/>
        <v>0.6931210617885899</v>
      </c>
      <c r="S560" s="323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338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627</v>
      </c>
      <c r="AD560" s="3" t="s">
        <v>627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323">
        <f t="shared" si="203"/>
        <v>0.94267990371312482</v>
      </c>
      <c r="AO560" s="323">
        <f t="shared" si="204"/>
        <v>0.94267990371312427</v>
      </c>
      <c r="AP560" s="323">
        <f t="shared" si="205"/>
        <v>0.90991819834498922</v>
      </c>
      <c r="AQ560" s="323">
        <f t="shared" si="206"/>
        <v>0.19377309131880904</v>
      </c>
      <c r="AR560" s="323">
        <f>Modelling_new[[#This Row],[Target E_Grid MTD
MWh]]/Modelling_new[[#This Row],[MTD DC Capcity]]/(24*CG560)</f>
        <v>0.17413994115229614</v>
      </c>
      <c r="AS560" s="323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627</v>
      </c>
      <c r="BI560" s="3" t="s">
        <v>627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323">
        <f>BM560/Modelling[[#This Row],[Comisined DC ]]/BP560</f>
        <v>0.78081288530413306</v>
      </c>
      <c r="BT560" s="337">
        <f>BN560/BQ560/Modelling[[#This Row],[Comisined DC ]]</f>
        <v>0.78081288530413262</v>
      </c>
      <c r="BU560" s="337">
        <f>BO560/BR560/Modelling[[#This Row],[Comisined DC ]]</f>
        <v>0.75874768705402063</v>
      </c>
      <c r="BV560" s="323">
        <f>BM560/(24*Modelling[[#This Row],[Comisined DC ]])</f>
        <v>0.16050042642362736</v>
      </c>
      <c r="BW560" s="323">
        <f>Modelling[[#This Row],[Target E_Grid MTD
MWh]]/Modelling[[#This Row],[MTD DC Capcity]]/(24*CG560)</f>
        <v>0.16050042642362744</v>
      </c>
      <c r="BX560" s="338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3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627</v>
      </c>
      <c r="F561" s="3" t="s">
        <v>627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323">
        <f t="shared" si="195"/>
        <v>0.70697746106983606</v>
      </c>
      <c r="Q561" s="337">
        <f t="shared" si="196"/>
        <v>0.70697746106983572</v>
      </c>
      <c r="R561" s="337">
        <f t="shared" si="197"/>
        <v>0.6931934649482292</v>
      </c>
      <c r="S561" s="323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338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627</v>
      </c>
      <c r="AD561" s="3" t="s">
        <v>627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323">
        <f t="shared" si="203"/>
        <v>0.94267990371312482</v>
      </c>
      <c r="AO561" s="323">
        <f t="shared" si="204"/>
        <v>0.94267990371312405</v>
      </c>
      <c r="AP561" s="323">
        <f t="shared" si="205"/>
        <v>0.91008938646794102</v>
      </c>
      <c r="AQ561" s="323">
        <f t="shared" si="206"/>
        <v>0.19377309131880904</v>
      </c>
      <c r="AR561" s="323">
        <f>Modelling_new[[#This Row],[Target E_Grid MTD
MWh]]/Modelling_new[[#This Row],[MTD DC Capcity]]/(24*CG561)</f>
        <v>0.17413994115229614</v>
      </c>
      <c r="AS561" s="323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627</v>
      </c>
      <c r="BI561" s="3" t="s">
        <v>627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323">
        <f>BM561/Modelling[[#This Row],[Comisined DC ]]/BP561</f>
        <v>0.78081288530413306</v>
      </c>
      <c r="BT561" s="337">
        <f>BN561/BQ561/Modelling[[#This Row],[Comisined DC ]]</f>
        <v>0.78081288530413262</v>
      </c>
      <c r="BU561" s="337">
        <f>BO561/BR561/Modelling[[#This Row],[Comisined DC ]]</f>
        <v>0.75886298324597878</v>
      </c>
      <c r="BV561" s="323">
        <f>BM561/(24*Modelling[[#This Row],[Comisined DC ]])</f>
        <v>0.16050042642362736</v>
      </c>
      <c r="BW561" s="323">
        <f>Modelling[[#This Row],[Target E_Grid MTD
MWh]]/Modelling[[#This Row],[MTD DC Capcity]]/(24*CG561)</f>
        <v>0.16050042642362741</v>
      </c>
      <c r="BX561" s="338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3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627</v>
      </c>
      <c r="F562" s="3" t="s">
        <v>627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323">
        <f t="shared" si="195"/>
        <v>0.70697746106983606</v>
      </c>
      <c r="Q562" s="337">
        <f t="shared" si="196"/>
        <v>0.70697746106983572</v>
      </c>
      <c r="R562" s="337">
        <f t="shared" si="197"/>
        <v>0.69326511539168245</v>
      </c>
      <c r="S562" s="323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338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627</v>
      </c>
      <c r="AD562" s="3" t="s">
        <v>627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323">
        <f t="shared" si="203"/>
        <v>0.94267990371312482</v>
      </c>
      <c r="AO562" s="323">
        <f t="shared" si="204"/>
        <v>0.94267990371312405</v>
      </c>
      <c r="AP562" s="323">
        <f t="shared" si="205"/>
        <v>0.91025879488857508</v>
      </c>
      <c r="AQ562" s="323">
        <f t="shared" si="206"/>
        <v>0.19377309131880904</v>
      </c>
      <c r="AR562" s="323">
        <f>Modelling_new[[#This Row],[Target E_Grid MTD
MWh]]/Modelling_new[[#This Row],[MTD DC Capcity]]/(24*CG562)</f>
        <v>0.17413994115229611</v>
      </c>
      <c r="AS562" s="323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627</v>
      </c>
      <c r="BI562" s="3" t="s">
        <v>627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323">
        <f>BM562/Modelling[[#This Row],[Comisined DC ]]/BP562</f>
        <v>0.78081288530413306</v>
      </c>
      <c r="BT562" s="337">
        <f>BN562/BQ562/Modelling[[#This Row],[Comisined DC ]]</f>
        <v>0.7808128853041324</v>
      </c>
      <c r="BU562" s="337">
        <f>BO562/BR562/Modelling[[#This Row],[Comisined DC ]]</f>
        <v>0.75897708079812165</v>
      </c>
      <c r="BV562" s="323">
        <f>BM562/(24*Modelling[[#This Row],[Comisined DC ]])</f>
        <v>0.16050042642362736</v>
      </c>
      <c r="BW562" s="323">
        <f>Modelling[[#This Row],[Target E_Grid MTD
MWh]]/Modelling[[#This Row],[MTD DC Capcity]]/(24*CG562)</f>
        <v>0.16050042642362741</v>
      </c>
      <c r="BX562" s="338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3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627</v>
      </c>
      <c r="F563" s="3" t="s">
        <v>627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323">
        <f t="shared" si="195"/>
        <v>0.70697746106983606</v>
      </c>
      <c r="Q563" s="337">
        <f t="shared" si="196"/>
        <v>0.70697746106983561</v>
      </c>
      <c r="R563" s="337">
        <f t="shared" si="197"/>
        <v>0.6933360247963074</v>
      </c>
      <c r="S563" s="323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338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627</v>
      </c>
      <c r="AD563" s="3" t="s">
        <v>627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323">
        <f t="shared" si="203"/>
        <v>0.94267990371312482</v>
      </c>
      <c r="AO563" s="323">
        <f t="shared" si="204"/>
        <v>0.94267990371312393</v>
      </c>
      <c r="AP563" s="323">
        <f t="shared" si="205"/>
        <v>0.91042645121652888</v>
      </c>
      <c r="AQ563" s="323">
        <f t="shared" si="206"/>
        <v>0.19377309131880904</v>
      </c>
      <c r="AR563" s="323">
        <f>Modelling_new[[#This Row],[Target E_Grid MTD
MWh]]/Modelling_new[[#This Row],[MTD DC Capcity]]/(24*CG563)</f>
        <v>0.17413994115229611</v>
      </c>
      <c r="AS563" s="323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627</v>
      </c>
      <c r="BI563" s="3" t="s">
        <v>627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323">
        <f>BM563/Modelling[[#This Row],[Comisined DC ]]/BP563</f>
        <v>0.78081288530413306</v>
      </c>
      <c r="BT563" s="337">
        <f>BN563/BQ563/Modelling[[#This Row],[Comisined DC ]]</f>
        <v>0.7808128853041324</v>
      </c>
      <c r="BU563" s="337">
        <f>BO563/BR563/Modelling[[#This Row],[Comisined DC ]]</f>
        <v>0.75908999830570001</v>
      </c>
      <c r="BV563" s="323">
        <f>BM563/(24*Modelling[[#This Row],[Comisined DC ]])</f>
        <v>0.16050042642362736</v>
      </c>
      <c r="BW563" s="323">
        <f>Modelling[[#This Row],[Target E_Grid MTD
MWh]]/Modelling[[#This Row],[MTD DC Capcity]]/(24*CG563)</f>
        <v>0.16050042642362738</v>
      </c>
      <c r="BX563" s="338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3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627</v>
      </c>
      <c r="F564" s="3" t="s">
        <v>627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323">
        <f t="shared" si="195"/>
        <v>0.70697746106983606</v>
      </c>
      <c r="Q564" s="337">
        <f t="shared" si="196"/>
        <v>0.70697746106983561</v>
      </c>
      <c r="R564" s="337">
        <f t="shared" si="197"/>
        <v>0.69340620459916069</v>
      </c>
      <c r="S564" s="323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338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627</v>
      </c>
      <c r="AD564" s="3" t="s">
        <v>627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323">
        <f t="shared" si="203"/>
        <v>0.94267990371312482</v>
      </c>
      <c r="AO564" s="323">
        <f t="shared" si="204"/>
        <v>0.94267990371312393</v>
      </c>
      <c r="AP564" s="323">
        <f t="shared" si="205"/>
        <v>0.91059238249327734</v>
      </c>
      <c r="AQ564" s="323">
        <f t="shared" si="206"/>
        <v>0.19377309131880904</v>
      </c>
      <c r="AR564" s="323">
        <f>Modelling_new[[#This Row],[Target E_Grid MTD
MWh]]/Modelling_new[[#This Row],[MTD DC Capcity]]/(24*CG564)</f>
        <v>0.17413994115229606</v>
      </c>
      <c r="AS564" s="323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627</v>
      </c>
      <c r="BI564" s="3" t="s">
        <v>627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323">
        <f>BM564/Modelling[[#This Row],[Comisined DC ]]/BP564</f>
        <v>0.78081288530413306</v>
      </c>
      <c r="BT564" s="337">
        <f>BN564/BQ564/Modelling[[#This Row],[Comisined DC ]]</f>
        <v>0.7808128853041324</v>
      </c>
      <c r="BU564" s="337">
        <f>BO564/BR564/Modelling[[#This Row],[Comisined DC ]]</f>
        <v>0.75920175398130374</v>
      </c>
      <c r="BV564" s="323">
        <f>BM564/(24*Modelling[[#This Row],[Comisined DC ]])</f>
        <v>0.16050042642362736</v>
      </c>
      <c r="BW564" s="323">
        <f>Modelling[[#This Row],[Target E_Grid MTD
MWh]]/Modelling[[#This Row],[MTD DC Capcity]]/(24*CG564)</f>
        <v>0.16050042642362741</v>
      </c>
      <c r="BX564" s="338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3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627</v>
      </c>
      <c r="F565" s="3" t="s">
        <v>627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323">
        <f t="shared" si="195"/>
        <v>0.70697746106983606</v>
      </c>
      <c r="Q565" s="337">
        <f t="shared" si="196"/>
        <v>0.70697746106983561</v>
      </c>
      <c r="R565" s="337">
        <f t="shared" si="197"/>
        <v>0.69347566600314681</v>
      </c>
      <c r="S565" s="323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338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627</v>
      </c>
      <c r="AD565" s="3" t="s">
        <v>627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323">
        <f t="shared" si="203"/>
        <v>0.94267990371312482</v>
      </c>
      <c r="AO565" s="323">
        <f t="shared" si="204"/>
        <v>0.94267990371312393</v>
      </c>
      <c r="AP565" s="323">
        <f t="shared" si="205"/>
        <v>0.91075661520667273</v>
      </c>
      <c r="AQ565" s="323">
        <f t="shared" si="206"/>
        <v>0.19377309131880904</v>
      </c>
      <c r="AR565" s="323">
        <f>Modelling_new[[#This Row],[Target E_Grid MTD
MWh]]/Modelling_new[[#This Row],[MTD DC Capcity]]/(24*CG565)</f>
        <v>0.17413994115229606</v>
      </c>
      <c r="AS565" s="323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627</v>
      </c>
      <c r="BI565" s="3" t="s">
        <v>627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323">
        <f>BM565/Modelling[[#This Row],[Comisined DC ]]/BP565</f>
        <v>0.78081288530413306</v>
      </c>
      <c r="BT565" s="337">
        <f>BN565/BQ565/Modelling[[#This Row],[Comisined DC ]]</f>
        <v>0.78081288530413229</v>
      </c>
      <c r="BU565" s="337">
        <f>BO565/BR565/Modelling[[#This Row],[Comisined DC ]]</f>
        <v>0.75931236566465476</v>
      </c>
      <c r="BV565" s="323">
        <f>BM565/(24*Modelling[[#This Row],[Comisined DC ]])</f>
        <v>0.16050042642362736</v>
      </c>
      <c r="BW565" s="323">
        <f>Modelling[[#This Row],[Target E_Grid MTD
MWh]]/Modelling[[#This Row],[MTD DC Capcity]]/(24*CG565)</f>
        <v>0.16050042642362741</v>
      </c>
      <c r="BX565" s="338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3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627</v>
      </c>
      <c r="F566" s="3" t="s">
        <v>627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323">
        <f t="shared" si="195"/>
        <v>0.70697746106983606</v>
      </c>
      <c r="Q566" s="337">
        <f t="shared" si="196"/>
        <v>0.70697746106983539</v>
      </c>
      <c r="R566" s="337">
        <f t="shared" si="197"/>
        <v>0.69354441998297989</v>
      </c>
      <c r="S566" s="323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338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627</v>
      </c>
      <c r="AD566" s="3" t="s">
        <v>627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323">
        <f t="shared" si="203"/>
        <v>0.94267990371312482</v>
      </c>
      <c r="AO566" s="323">
        <f t="shared" si="204"/>
        <v>0.94267990371312371</v>
      </c>
      <c r="AP566" s="323">
        <f t="shared" si="205"/>
        <v>0.9109191753050403</v>
      </c>
      <c r="AQ566" s="323">
        <f t="shared" si="206"/>
        <v>0.19377309131880904</v>
      </c>
      <c r="AR566" s="323">
        <f>Modelling_new[[#This Row],[Target E_Grid MTD
MWh]]/Modelling_new[[#This Row],[MTD DC Capcity]]/(24*CG566)</f>
        <v>0.17413994115229606</v>
      </c>
      <c r="AS566" s="323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627</v>
      </c>
      <c r="BI566" s="3" t="s">
        <v>627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323">
        <f>BM566/Modelling[[#This Row],[Comisined DC ]]/BP566</f>
        <v>0.78081288530413306</v>
      </c>
      <c r="BT566" s="337">
        <f>BN566/BQ566/Modelling[[#This Row],[Comisined DC ]]</f>
        <v>0.78081288530413229</v>
      </c>
      <c r="BU566" s="337">
        <f>BO566/BR566/Modelling[[#This Row],[Comisined DC ]]</f>
        <v>0.75942185083210056</v>
      </c>
      <c r="BV566" s="323">
        <f>BM566/(24*Modelling[[#This Row],[Comisined DC ]])</f>
        <v>0.16050042642362736</v>
      </c>
      <c r="BW566" s="323">
        <f>Modelling[[#This Row],[Target E_Grid MTD
MWh]]/Modelling[[#This Row],[MTD DC Capcity]]/(24*CG566)</f>
        <v>0.16050042642362738</v>
      </c>
      <c r="BX566" s="338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3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627</v>
      </c>
      <c r="F567" s="3" t="s">
        <v>627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323">
        <f t="shared" si="195"/>
        <v>0.69193347973063524</v>
      </c>
      <c r="Q567" s="337">
        <f t="shared" si="196"/>
        <v>0.69193347973063535</v>
      </c>
      <c r="R567" s="337">
        <f t="shared" si="197"/>
        <v>0.69353444619348315</v>
      </c>
      <c r="S567" s="323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338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627</v>
      </c>
      <c r="AD567" s="3" t="s">
        <v>627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323">
        <f t="shared" si="203"/>
        <v>0.88143217495962878</v>
      </c>
      <c r="AO567" s="323">
        <f t="shared" si="204"/>
        <v>0.88143217495962878</v>
      </c>
      <c r="AP567" s="323">
        <f t="shared" si="205"/>
        <v>0.91073661289534924</v>
      </c>
      <c r="AQ567" s="323">
        <f t="shared" si="206"/>
        <v>0.22166123647170233</v>
      </c>
      <c r="AR567" s="323">
        <f>Modelling_new[[#This Row],[Target E_Grid MTD
MWh]]/Modelling_new[[#This Row],[MTD DC Capcity]]/(24*CG567)</f>
        <v>0.19920245072325304</v>
      </c>
      <c r="AS567" s="323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627</v>
      </c>
      <c r="BI567" s="3" t="s">
        <v>627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323">
        <f>BM567/Modelling[[#This Row],[Comisined DC ]]/BP567</f>
        <v>0.74470262898426853</v>
      </c>
      <c r="BT567" s="337">
        <f>BN567/BQ567/Modelling[[#This Row],[Comisined DC ]]</f>
        <v>0.74470262898426853</v>
      </c>
      <c r="BU567" s="337">
        <f>BO567/BR567/Modelling[[#This Row],[Comisined DC ]]</f>
        <v>0.75933071994127277</v>
      </c>
      <c r="BV567" s="323">
        <f>BM567/(24*Modelling[[#This Row],[Comisined DC ]])</f>
        <v>0.18727669607924277</v>
      </c>
      <c r="BW567" s="323">
        <f>Modelling[[#This Row],[Target E_Grid MTD
MWh]]/Modelling[[#This Row],[MTD DC Capcity]]/(24*CG567)</f>
        <v>0.1872766960792428</v>
      </c>
      <c r="BX567" s="338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3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627</v>
      </c>
      <c r="F568" s="3" t="s">
        <v>627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323">
        <f t="shared" si="195"/>
        <v>0.69193347973063524</v>
      </c>
      <c r="Q568" s="337">
        <f t="shared" si="196"/>
        <v>0.69193347973063535</v>
      </c>
      <c r="R568" s="337">
        <f t="shared" si="197"/>
        <v>0.69352459514519826</v>
      </c>
      <c r="S568" s="323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338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627</v>
      </c>
      <c r="AD568" s="3" t="s">
        <v>627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323">
        <f t="shared" si="203"/>
        <v>0.88143217495962878</v>
      </c>
      <c r="AO568" s="323">
        <f t="shared" si="204"/>
        <v>0.88143217495962878</v>
      </c>
      <c r="AP568" s="323">
        <f t="shared" si="205"/>
        <v>0.91055629716746511</v>
      </c>
      <c r="AQ568" s="323">
        <f t="shared" si="206"/>
        <v>0.22166123647170233</v>
      </c>
      <c r="AR568" s="323">
        <f>Modelling_new[[#This Row],[Target E_Grid MTD
MWh]]/Modelling_new[[#This Row],[MTD DC Capcity]]/(24*CG568)</f>
        <v>0.19920245072325304</v>
      </c>
      <c r="AS568" s="323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627</v>
      </c>
      <c r="BI568" s="3" t="s">
        <v>627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323">
        <f>BM568/Modelling[[#This Row],[Comisined DC ]]/BP568</f>
        <v>0.74470262898426853</v>
      </c>
      <c r="BT568" s="337">
        <f>BN568/BQ568/Modelling[[#This Row],[Comisined DC ]]</f>
        <v>0.74470262898426853</v>
      </c>
      <c r="BU568" s="337">
        <f>BO568/BR568/Modelling[[#This Row],[Comisined DC ]]</f>
        <v>0.75924071054152753</v>
      </c>
      <c r="BV568" s="323">
        <f>BM568/(24*Modelling[[#This Row],[Comisined DC ]])</f>
        <v>0.18727669607924277</v>
      </c>
      <c r="BW568" s="323">
        <f>Modelling[[#This Row],[Target E_Grid MTD
MWh]]/Modelling[[#This Row],[MTD DC Capcity]]/(24*CG568)</f>
        <v>0.1872766960792428</v>
      </c>
      <c r="BX568" s="338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3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627</v>
      </c>
      <c r="F569" s="3" t="s">
        <v>627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323">
        <f t="shared" si="195"/>
        <v>0.69193347973063524</v>
      </c>
      <c r="Q569" s="337">
        <f t="shared" si="196"/>
        <v>0.69193347973063535</v>
      </c>
      <c r="R569" s="337">
        <f t="shared" si="197"/>
        <v>0.69351486458623224</v>
      </c>
      <c r="S569" s="323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338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627</v>
      </c>
      <c r="AD569" s="3" t="s">
        <v>627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323">
        <f t="shared" si="203"/>
        <v>0.88143217495962878</v>
      </c>
      <c r="AO569" s="323">
        <f t="shared" si="204"/>
        <v>0.88143217495962867</v>
      </c>
      <c r="AP569" s="323">
        <f t="shared" si="205"/>
        <v>0.9103781869022477</v>
      </c>
      <c r="AQ569" s="323">
        <f t="shared" si="206"/>
        <v>0.22166123647170233</v>
      </c>
      <c r="AR569" s="323">
        <f>Modelling_new[[#This Row],[Target E_Grid MTD
MWh]]/Modelling_new[[#This Row],[MTD DC Capcity]]/(24*CG569)</f>
        <v>0.19920245072325299</v>
      </c>
      <c r="AS569" s="323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627</v>
      </c>
      <c r="BI569" s="3" t="s">
        <v>627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323">
        <f>BM569/Modelling[[#This Row],[Comisined DC ]]/BP569</f>
        <v>0.74470262898426853</v>
      </c>
      <c r="BT569" s="337">
        <f>BN569/BQ569/Modelling[[#This Row],[Comisined DC ]]</f>
        <v>0.74470262898426853</v>
      </c>
      <c r="BU569" s="337">
        <f>BO569/BR569/Modelling[[#This Row],[Comisined DC ]]</f>
        <v>0.75915180205723276</v>
      </c>
      <c r="BV569" s="323">
        <f>BM569/(24*Modelling[[#This Row],[Comisined DC ]])</f>
        <v>0.18727669607924277</v>
      </c>
      <c r="BW569" s="323">
        <f>Modelling[[#This Row],[Target E_Grid MTD
MWh]]/Modelling[[#This Row],[MTD DC Capcity]]/(24*CG569)</f>
        <v>0.1872766960792428</v>
      </c>
      <c r="BX569" s="338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3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627</v>
      </c>
      <c r="F570" s="3" t="s">
        <v>627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323">
        <f t="shared" si="195"/>
        <v>0.69193347973063524</v>
      </c>
      <c r="Q570" s="337">
        <f t="shared" si="196"/>
        <v>0.69193347973063535</v>
      </c>
      <c r="R570" s="337">
        <f t="shared" si="197"/>
        <v>0.69350525231944327</v>
      </c>
      <c r="S570" s="323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338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627</v>
      </c>
      <c r="AD570" s="3" t="s">
        <v>627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323">
        <f t="shared" si="203"/>
        <v>0.88143217495962878</v>
      </c>
      <c r="AO570" s="323">
        <f t="shared" si="204"/>
        <v>0.88143217495962878</v>
      </c>
      <c r="AP570" s="323">
        <f t="shared" si="205"/>
        <v>0.91020224188274035</v>
      </c>
      <c r="AQ570" s="323">
        <f t="shared" si="206"/>
        <v>0.22166123647170233</v>
      </c>
      <c r="AR570" s="323">
        <f>Modelling_new[[#This Row],[Target E_Grid MTD
MWh]]/Modelling_new[[#This Row],[MTD DC Capcity]]/(24*CG570)</f>
        <v>0.19920245072325304</v>
      </c>
      <c r="AS570" s="323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627</v>
      </c>
      <c r="BI570" s="3" t="s">
        <v>627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323">
        <f>BM570/Modelling[[#This Row],[Comisined DC ]]/BP570</f>
        <v>0.74470262898426853</v>
      </c>
      <c r="BT570" s="337">
        <f>BN570/BQ570/Modelling[[#This Row],[Comisined DC ]]</f>
        <v>0.74470262898426853</v>
      </c>
      <c r="BU570" s="337">
        <f>BO570/BR570/Modelling[[#This Row],[Comisined DC ]]</f>
        <v>0.75906397441302287</v>
      </c>
      <c r="BV570" s="323">
        <f>BM570/(24*Modelling[[#This Row],[Comisined DC ]])</f>
        <v>0.18727669607924277</v>
      </c>
      <c r="BW570" s="323">
        <f>Modelling[[#This Row],[Target E_Grid MTD
MWh]]/Modelling[[#This Row],[MTD DC Capcity]]/(24*CG570)</f>
        <v>0.1872766960792428</v>
      </c>
      <c r="BX570" s="338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3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627</v>
      </c>
      <c r="F571" s="3" t="s">
        <v>627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323">
        <f t="shared" si="195"/>
        <v>0.69193347973063524</v>
      </c>
      <c r="Q571" s="337">
        <f t="shared" si="196"/>
        <v>0.69193347973063535</v>
      </c>
      <c r="R571" s="337">
        <f t="shared" si="197"/>
        <v>0.69349575620078763</v>
      </c>
      <c r="S571" s="323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338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627</v>
      </c>
      <c r="AD571" s="3" t="s">
        <v>627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323">
        <f t="shared" si="203"/>
        <v>0.88143217495962878</v>
      </c>
      <c r="AO571" s="323">
        <f t="shared" si="204"/>
        <v>0.88143217495962878</v>
      </c>
      <c r="AP571" s="323">
        <f t="shared" si="205"/>
        <v>0.91002842286389485</v>
      </c>
      <c r="AQ571" s="323">
        <f t="shared" si="206"/>
        <v>0.22166123647170233</v>
      </c>
      <c r="AR571" s="323">
        <f>Modelling_new[[#This Row],[Target E_Grid MTD
MWh]]/Modelling_new[[#This Row],[MTD DC Capcity]]/(24*CG571)</f>
        <v>0.19920245072325304</v>
      </c>
      <c r="AS571" s="323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627</v>
      </c>
      <c r="BI571" s="3" t="s">
        <v>627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323">
        <f>BM571/Modelling[[#This Row],[Comisined DC ]]/BP571</f>
        <v>0.74470262898426853</v>
      </c>
      <c r="BT571" s="337">
        <f>BN571/BQ571/Modelling[[#This Row],[Comisined DC ]]</f>
        <v>0.74470262898426864</v>
      </c>
      <c r="BU571" s="337">
        <f>BO571/BR571/Modelling[[#This Row],[Comisined DC ]]</f>
        <v>0.75897720801868673</v>
      </c>
      <c r="BV571" s="323">
        <f>BM571/(24*Modelling[[#This Row],[Comisined DC ]])</f>
        <v>0.18727669607924277</v>
      </c>
      <c r="BW571" s="323">
        <f>Modelling[[#This Row],[Target E_Grid MTD
MWh]]/Modelling[[#This Row],[MTD DC Capcity]]/(24*CG571)</f>
        <v>0.1872766960792428</v>
      </c>
      <c r="BX571" s="338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3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627</v>
      </c>
      <c r="F572" s="3" t="s">
        <v>627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323">
        <f t="shared" si="195"/>
        <v>0.69193347973063524</v>
      </c>
      <c r="Q572" s="337">
        <f t="shared" si="196"/>
        <v>0.69193347973063535</v>
      </c>
      <c r="R572" s="337">
        <f t="shared" si="197"/>
        <v>0.69348637413772429</v>
      </c>
      <c r="S572" s="323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338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627</v>
      </c>
      <c r="AD572" s="3" t="s">
        <v>627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323">
        <f t="shared" si="203"/>
        <v>0.88143217495962878</v>
      </c>
      <c r="AO572" s="323">
        <f t="shared" si="204"/>
        <v>0.88143217495962867</v>
      </c>
      <c r="AP572" s="323">
        <f t="shared" si="205"/>
        <v>0.909856691543389</v>
      </c>
      <c r="AQ572" s="323">
        <f t="shared" si="206"/>
        <v>0.22166123647170233</v>
      </c>
      <c r="AR572" s="323">
        <f>Modelling_new[[#This Row],[Target E_Grid MTD
MWh]]/Modelling_new[[#This Row],[MTD DC Capcity]]/(24*CG572)</f>
        <v>0.19920245072325304</v>
      </c>
      <c r="AS572" s="323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627</v>
      </c>
      <c r="BI572" s="3" t="s">
        <v>627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323">
        <f>BM572/Modelling[[#This Row],[Comisined DC ]]/BP572</f>
        <v>0.74470262898426853</v>
      </c>
      <c r="BT572" s="337">
        <f>BN572/BQ572/Modelling[[#This Row],[Comisined DC ]]</f>
        <v>0.74470262898426853</v>
      </c>
      <c r="BU572" s="337">
        <f>BO572/BR572/Modelling[[#This Row],[Comisined DC ]]</f>
        <v>0.7588914837545998</v>
      </c>
      <c r="BV572" s="323">
        <f>BM572/(24*Modelling[[#This Row],[Comisined DC ]])</f>
        <v>0.18727669607924277</v>
      </c>
      <c r="BW572" s="323">
        <f>Modelling[[#This Row],[Target E_Grid MTD
MWh]]/Modelling[[#This Row],[MTD DC Capcity]]/(24*CG572)</f>
        <v>0.1872766960792428</v>
      </c>
      <c r="BX572" s="338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3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627</v>
      </c>
      <c r="F573" s="3" t="s">
        <v>627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323">
        <f t="shared" si="195"/>
        <v>0.69193347973063524</v>
      </c>
      <c r="Q573" s="337">
        <f t="shared" si="196"/>
        <v>0.69193347973063535</v>
      </c>
      <c r="R573" s="337">
        <f t="shared" si="197"/>
        <v>0.69347710408767826</v>
      </c>
      <c r="S573" s="323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338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627</v>
      </c>
      <c r="AD573" s="3" t="s">
        <v>627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323">
        <f t="shared" si="203"/>
        <v>0.88143217495962878</v>
      </c>
      <c r="AO573" s="323">
        <f t="shared" si="204"/>
        <v>0.88143217495962867</v>
      </c>
      <c r="AP573" s="323">
        <f t="shared" si="205"/>
        <v>0.90968701053348799</v>
      </c>
      <c r="AQ573" s="323">
        <f t="shared" si="206"/>
        <v>0.22166123647170233</v>
      </c>
      <c r="AR573" s="323">
        <f>Modelling_new[[#This Row],[Target E_Grid MTD
MWh]]/Modelling_new[[#This Row],[MTD DC Capcity]]/(24*CG573)</f>
        <v>0.19920245072325304</v>
      </c>
      <c r="AS573" s="323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627</v>
      </c>
      <c r="BI573" s="3" t="s">
        <v>627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323">
        <f>BM573/Modelling[[#This Row],[Comisined DC ]]/BP573</f>
        <v>0.74470262898426853</v>
      </c>
      <c r="BT573" s="337">
        <f>BN573/BQ573/Modelling[[#This Row],[Comisined DC ]]</f>
        <v>0.74470262898426831</v>
      </c>
      <c r="BU573" s="337">
        <f>BO573/BR573/Modelling[[#This Row],[Comisined DC ]]</f>
        <v>0.75880678295767778</v>
      </c>
      <c r="BV573" s="323">
        <f>BM573/(24*Modelling[[#This Row],[Comisined DC ]])</f>
        <v>0.18727669607924277</v>
      </c>
      <c r="BW573" s="323">
        <f>Modelling[[#This Row],[Target E_Grid MTD
MWh]]/Modelling[[#This Row],[MTD DC Capcity]]/(24*CG573)</f>
        <v>0.18727669607924277</v>
      </c>
      <c r="BX573" s="338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3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627</v>
      </c>
      <c r="F574" s="3" t="s">
        <v>627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323">
        <f t="shared" si="195"/>
        <v>0.69193347973063524</v>
      </c>
      <c r="Q574" s="337">
        <f t="shared" si="196"/>
        <v>0.69193347973063546</v>
      </c>
      <c r="R574" s="337">
        <f t="shared" si="197"/>
        <v>0.69346794405655821</v>
      </c>
      <c r="S574" s="323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338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627</v>
      </c>
      <c r="AD574" s="3" t="s">
        <v>627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323">
        <f t="shared" si="203"/>
        <v>0.88143217495962878</v>
      </c>
      <c r="AO574" s="323">
        <f t="shared" si="204"/>
        <v>0.88143217495962867</v>
      </c>
      <c r="AP574" s="323">
        <f t="shared" si="205"/>
        <v>0.90951934333390838</v>
      </c>
      <c r="AQ574" s="323">
        <f t="shared" si="206"/>
        <v>0.22166123647170233</v>
      </c>
      <c r="AR574" s="323">
        <f>Modelling_new[[#This Row],[Target E_Grid MTD
MWh]]/Modelling_new[[#This Row],[MTD DC Capcity]]/(24*CG574)</f>
        <v>0.19920245072325304</v>
      </c>
      <c r="AS574" s="323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627</v>
      </c>
      <c r="BI574" s="3" t="s">
        <v>627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323">
        <f>BM574/Modelling[[#This Row],[Comisined DC ]]/BP574</f>
        <v>0.74470262898426853</v>
      </c>
      <c r="BT574" s="337">
        <f>BN574/BQ574/Modelling[[#This Row],[Comisined DC ]]</f>
        <v>0.74470262898426853</v>
      </c>
      <c r="BU574" s="337">
        <f>BO574/BR574/Modelling[[#This Row],[Comisined DC ]]</f>
        <v>0.75872308740783179</v>
      </c>
      <c r="BV574" s="323">
        <f>BM574/(24*Modelling[[#This Row],[Comisined DC ]])</f>
        <v>0.18727669607924277</v>
      </c>
      <c r="BW574" s="323">
        <f>Modelling[[#This Row],[Target E_Grid MTD
MWh]]/Modelling[[#This Row],[MTD DC Capcity]]/(24*CG574)</f>
        <v>0.1872766960792428</v>
      </c>
      <c r="BX574" s="338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3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627</v>
      </c>
      <c r="F575" s="3" t="s">
        <v>627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323">
        <f t="shared" si="195"/>
        <v>0.69193347973063524</v>
      </c>
      <c r="Q575" s="337">
        <f t="shared" si="196"/>
        <v>0.69193347973063557</v>
      </c>
      <c r="R575" s="337">
        <f t="shared" si="197"/>
        <v>0.69345889209732603</v>
      </c>
      <c r="S575" s="323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338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627</v>
      </c>
      <c r="AD575" s="3" t="s">
        <v>627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323">
        <f t="shared" si="203"/>
        <v>0.88143217495962878</v>
      </c>
      <c r="AO575" s="323">
        <f t="shared" si="204"/>
        <v>0.88143217495962867</v>
      </c>
      <c r="AP575" s="323">
        <f t="shared" si="205"/>
        <v>0.90935365430564175</v>
      </c>
      <c r="AQ575" s="323">
        <f t="shared" si="206"/>
        <v>0.22166123647170233</v>
      </c>
      <c r="AR575" s="323">
        <f>Modelling_new[[#This Row],[Target E_Grid MTD
MWh]]/Modelling_new[[#This Row],[MTD DC Capcity]]/(24*CG575)</f>
        <v>0.19920245072325304</v>
      </c>
      <c r="AS575" s="323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627</v>
      </c>
      <c r="BI575" s="3" t="s">
        <v>627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323">
        <f>BM575/Modelling[[#This Row],[Comisined DC ]]/BP575</f>
        <v>0.74470262898426853</v>
      </c>
      <c r="BT575" s="337">
        <f>BN575/BQ575/Modelling[[#This Row],[Comisined DC ]]</f>
        <v>0.74470262898426864</v>
      </c>
      <c r="BU575" s="337">
        <f>BO575/BR575/Modelling[[#This Row],[Comisined DC ]]</f>
        <v>0.75864037931490125</v>
      </c>
      <c r="BV575" s="323">
        <f>BM575/(24*Modelling[[#This Row],[Comisined DC ]])</f>
        <v>0.18727669607924277</v>
      </c>
      <c r="BW575" s="323">
        <f>Modelling[[#This Row],[Target E_Grid MTD
MWh]]/Modelling[[#This Row],[MTD DC Capcity]]/(24*CG575)</f>
        <v>0.18727669607924277</v>
      </c>
      <c r="BX575" s="338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3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627</v>
      </c>
      <c r="F576" s="3" t="s">
        <v>627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323">
        <f t="shared" ref="P576:P639" si="222">J576/$Q$1/M576</f>
        <v>0.69193347973063524</v>
      </c>
      <c r="Q576" s="337">
        <f t="shared" ref="Q576:Q639" si="223">K576/N576/$Q$1</f>
        <v>0.69193347973063557</v>
      </c>
      <c r="R576" s="337">
        <f t="shared" ref="R576:R639" si="224">L576/O576/$Q$1</f>
        <v>0.69344994630861734</v>
      </c>
      <c r="S576" s="323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338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627</v>
      </c>
      <c r="AD576" s="3" t="s">
        <v>627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323">
        <f t="shared" ref="AN576:AN639" si="230">AH576/$Q$1/AK576</f>
        <v>0.88143217495962878</v>
      </c>
      <c r="AO576" s="323">
        <f t="shared" ref="AO576:AO639" si="231">AI576/AL576/$Q$1</f>
        <v>0.88143217495962867</v>
      </c>
      <c r="AP576" s="323">
        <f t="shared" ref="AP576:AP639" si="232">AJ576/AM576/$Q$1</f>
        <v>0.90918990864570037</v>
      </c>
      <c r="AQ576" s="323">
        <f t="shared" ref="AQ576:AQ639" si="233">AH576/(24*$Q$1)</f>
        <v>0.22166123647170233</v>
      </c>
      <c r="AR576" s="323">
        <f>Modelling_new[[#This Row],[Target E_Grid MTD
MWh]]/Modelling_new[[#This Row],[MTD DC Capcity]]/(24*CG576)</f>
        <v>0.19920245072325302</v>
      </c>
      <c r="AS576" s="323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627</v>
      </c>
      <c r="BI576" s="3" t="s">
        <v>627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323">
        <f>BM576/Modelling[[#This Row],[Comisined DC ]]/BP576</f>
        <v>0.74470262898426853</v>
      </c>
      <c r="BT576" s="337">
        <f>BN576/BQ576/Modelling[[#This Row],[Comisined DC ]]</f>
        <v>0.74470262898426864</v>
      </c>
      <c r="BU576" s="337">
        <f>BO576/BR576/Modelling[[#This Row],[Comisined DC ]]</f>
        <v>0.75855864130604778</v>
      </c>
      <c r="BV576" s="323">
        <f>BM576/(24*Modelling[[#This Row],[Comisined DC ]])</f>
        <v>0.18727669607924277</v>
      </c>
      <c r="BW576" s="323">
        <f>Modelling[[#This Row],[Target E_Grid MTD
MWh]]/Modelling[[#This Row],[MTD DC Capcity]]/(24*CG576)</f>
        <v>0.1872766960792428</v>
      </c>
      <c r="BX576" s="338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3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627</v>
      </c>
      <c r="F577" s="3" t="s">
        <v>627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323">
        <f t="shared" si="222"/>
        <v>0.69193347973063524</v>
      </c>
      <c r="Q577" s="337">
        <f t="shared" si="223"/>
        <v>0.69193347973063557</v>
      </c>
      <c r="R577" s="337">
        <f t="shared" si="224"/>
        <v>0.6934411048334097</v>
      </c>
      <c r="S577" s="323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338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627</v>
      </c>
      <c r="AD577" s="3" t="s">
        <v>627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323">
        <f t="shared" si="230"/>
        <v>0.88143217495962878</v>
      </c>
      <c r="AO577" s="323">
        <f t="shared" si="231"/>
        <v>0.88143217495962878</v>
      </c>
      <c r="AP577" s="323">
        <f t="shared" si="232"/>
        <v>0.90902807236274596</v>
      </c>
      <c r="AQ577" s="323">
        <f t="shared" si="233"/>
        <v>0.22166123647170233</v>
      </c>
      <c r="AR577" s="323">
        <f>Modelling_new[[#This Row],[Target E_Grid MTD
MWh]]/Modelling_new[[#This Row],[MTD DC Capcity]]/(24*CG577)</f>
        <v>0.19920245072325302</v>
      </c>
      <c r="AS577" s="323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627</v>
      </c>
      <c r="BI577" s="3" t="s">
        <v>627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323">
        <f>BM577/Modelling[[#This Row],[Comisined DC ]]/BP577</f>
        <v>0.74470262898426853</v>
      </c>
      <c r="BT577" s="337">
        <f>BN577/BQ577/Modelling[[#This Row],[Comisined DC ]]</f>
        <v>0.74470262898426864</v>
      </c>
      <c r="BU577" s="337">
        <f>BO577/BR577/Modelling[[#This Row],[Comisined DC ]]</f>
        <v>0.75847785641358922</v>
      </c>
      <c r="BV577" s="323">
        <f>BM577/(24*Modelling[[#This Row],[Comisined DC ]])</f>
        <v>0.18727669607924277</v>
      </c>
      <c r="BW577" s="323">
        <f>Modelling[[#This Row],[Target E_Grid MTD
MWh]]/Modelling[[#This Row],[MTD DC Capcity]]/(24*CG577)</f>
        <v>0.18727669607924274</v>
      </c>
      <c r="BX577" s="338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3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627</v>
      </c>
      <c r="F578" s="3" t="s">
        <v>627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323">
        <f t="shared" si="222"/>
        <v>0.69193347973063524</v>
      </c>
      <c r="Q578" s="337">
        <f t="shared" si="223"/>
        <v>0.69193347973063557</v>
      </c>
      <c r="R578" s="337">
        <f t="shared" si="224"/>
        <v>0.69343236585773804</v>
      </c>
      <c r="S578" s="323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338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627</v>
      </c>
      <c r="AD578" s="3" t="s">
        <v>627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323">
        <f t="shared" si="230"/>
        <v>0.88143217495962878</v>
      </c>
      <c r="AO578" s="323">
        <f t="shared" si="231"/>
        <v>0.88143217495962878</v>
      </c>
      <c r="AP578" s="323">
        <f t="shared" si="232"/>
        <v>0.90886811225356545</v>
      </c>
      <c r="AQ578" s="323">
        <f t="shared" si="233"/>
        <v>0.22166123647170233</v>
      </c>
      <c r="AR578" s="323">
        <f>Modelling_new[[#This Row],[Target E_Grid MTD
MWh]]/Modelling_new[[#This Row],[MTD DC Capcity]]/(24*CG578)</f>
        <v>0.19920245072325302</v>
      </c>
      <c r="AS578" s="323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627</v>
      </c>
      <c r="BI578" s="3" t="s">
        <v>627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323">
        <f>BM578/Modelling[[#This Row],[Comisined DC ]]/BP578</f>
        <v>0.74470262898426853</v>
      </c>
      <c r="BT578" s="337">
        <f>BN578/BQ578/Modelling[[#This Row],[Comisined DC ]]</f>
        <v>0.74470262898426853</v>
      </c>
      <c r="BU578" s="337">
        <f>BO578/BR578/Modelling[[#This Row],[Comisined DC ]]</f>
        <v>0.75839800806325675</v>
      </c>
      <c r="BV578" s="323">
        <f>BM578/(24*Modelling[[#This Row],[Comisined DC ]])</f>
        <v>0.18727669607924277</v>
      </c>
      <c r="BW578" s="323">
        <f>Modelling[[#This Row],[Target E_Grid MTD
MWh]]/Modelling[[#This Row],[MTD DC Capcity]]/(24*CG578)</f>
        <v>0.18727669607924274</v>
      </c>
      <c r="BX578" s="338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3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627</v>
      </c>
      <c r="F579" s="3" t="s">
        <v>627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323">
        <f t="shared" si="222"/>
        <v>0.69193347973063524</v>
      </c>
      <c r="Q579" s="337">
        <f t="shared" si="223"/>
        <v>0.69193347973063546</v>
      </c>
      <c r="R579" s="337">
        <f t="shared" si="224"/>
        <v>0.69342372760945359</v>
      </c>
      <c r="S579" s="323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338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627</v>
      </c>
      <c r="AD579" s="3" t="s">
        <v>627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323">
        <f t="shared" si="230"/>
        <v>0.88143217495962878</v>
      </c>
      <c r="AO579" s="323">
        <f t="shared" si="231"/>
        <v>0.88143217495962878</v>
      </c>
      <c r="AP579" s="323">
        <f t="shared" si="232"/>
        <v>0.90870999588036183</v>
      </c>
      <c r="AQ579" s="323">
        <f t="shared" si="233"/>
        <v>0.22166123647170233</v>
      </c>
      <c r="AR579" s="323">
        <f>Modelling_new[[#This Row],[Target E_Grid MTD
MWh]]/Modelling_new[[#This Row],[MTD DC Capcity]]/(24*CG579)</f>
        <v>0.19920245072325299</v>
      </c>
      <c r="AS579" s="323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627</v>
      </c>
      <c r="BI579" s="3" t="s">
        <v>627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323">
        <f>BM579/Modelling[[#This Row],[Comisined DC ]]/BP579</f>
        <v>0.74470262898426853</v>
      </c>
      <c r="BT579" s="337">
        <f>BN579/BQ579/Modelling[[#This Row],[Comisined DC ]]</f>
        <v>0.74470262898426864</v>
      </c>
      <c r="BU579" s="337">
        <f>BO579/BR579/Modelling[[#This Row],[Comisined DC ]]</f>
        <v>0.75831908006285997</v>
      </c>
      <c r="BV579" s="323">
        <f>BM579/(24*Modelling[[#This Row],[Comisined DC ]])</f>
        <v>0.18727669607924277</v>
      </c>
      <c r="BW579" s="323">
        <f>Modelling[[#This Row],[Target E_Grid MTD
MWh]]/Modelling[[#This Row],[MTD DC Capcity]]/(24*CG579)</f>
        <v>0.1872766960792428</v>
      </c>
      <c r="BX579" s="338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3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627</v>
      </c>
      <c r="F580" s="3" t="s">
        <v>627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323">
        <f t="shared" si="222"/>
        <v>0.69193347973063524</v>
      </c>
      <c r="Q580" s="337">
        <f t="shared" si="223"/>
        <v>0.69193347973063546</v>
      </c>
      <c r="R580" s="337">
        <f t="shared" si="224"/>
        <v>0.69341518835702565</v>
      </c>
      <c r="S580" s="323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338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627</v>
      </c>
      <c r="AD580" s="3" t="s">
        <v>627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323">
        <f t="shared" si="230"/>
        <v>0.88143217495962878</v>
      </c>
      <c r="AO580" s="323">
        <f t="shared" si="231"/>
        <v>0.88143217495962878</v>
      </c>
      <c r="AP580" s="323">
        <f t="shared" si="232"/>
        <v>0.90855369154882326</v>
      </c>
      <c r="AQ580" s="323">
        <f t="shared" si="233"/>
        <v>0.22166123647170233</v>
      </c>
      <c r="AR580" s="323">
        <f>Modelling_new[[#This Row],[Target E_Grid MTD
MWh]]/Modelling_new[[#This Row],[MTD DC Capcity]]/(24*CG580)</f>
        <v>0.19920245072325299</v>
      </c>
      <c r="AS580" s="323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627</v>
      </c>
      <c r="BI580" s="3" t="s">
        <v>627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323">
        <f>BM580/Modelling[[#This Row],[Comisined DC ]]/BP580</f>
        <v>0.74470262898426853</v>
      </c>
      <c r="BT580" s="337">
        <f>BN580/BQ580/Modelling[[#This Row],[Comisined DC ]]</f>
        <v>0.74470262898426864</v>
      </c>
      <c r="BU580" s="337">
        <f>BO580/BR580/Modelling[[#This Row],[Comisined DC ]]</f>
        <v>0.758241056591339</v>
      </c>
      <c r="BV580" s="323">
        <f>BM580/(24*Modelling[[#This Row],[Comisined DC ]])</f>
        <v>0.18727669607924277</v>
      </c>
      <c r="BW580" s="323">
        <f>Modelling[[#This Row],[Target E_Grid MTD
MWh]]/Modelling[[#This Row],[MTD DC Capcity]]/(24*CG580)</f>
        <v>0.1872766960792428</v>
      </c>
      <c r="BX580" s="338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3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627</v>
      </c>
      <c r="F581" s="3" t="s">
        <v>627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323">
        <f t="shared" si="222"/>
        <v>0.69193347973063524</v>
      </c>
      <c r="Q581" s="337">
        <f t="shared" si="223"/>
        <v>0.69193347973063546</v>
      </c>
      <c r="R581" s="337">
        <f t="shared" si="224"/>
        <v>0.69340674640838496</v>
      </c>
      <c r="S581" s="323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338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627</v>
      </c>
      <c r="AD581" s="3" t="s">
        <v>627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323">
        <f t="shared" si="230"/>
        <v>0.88143217495962878</v>
      </c>
      <c r="AO581" s="323">
        <f t="shared" si="231"/>
        <v>0.88143217495962878</v>
      </c>
      <c r="AP581" s="323">
        <f t="shared" si="232"/>
        <v>0.90839916828694367</v>
      </c>
      <c r="AQ581" s="323">
        <f t="shared" si="233"/>
        <v>0.22166123647170233</v>
      </c>
      <c r="AR581" s="323">
        <f>Modelling_new[[#This Row],[Target E_Grid MTD
MWh]]/Modelling_new[[#This Row],[MTD DC Capcity]]/(24*CG581)</f>
        <v>0.19920245072325293</v>
      </c>
      <c r="AS581" s="323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627</v>
      </c>
      <c r="BI581" s="3" t="s">
        <v>627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323">
        <f>BM581/Modelling[[#This Row],[Comisined DC ]]/BP581</f>
        <v>0.74470262898426853</v>
      </c>
      <c r="BT581" s="337">
        <f>BN581/BQ581/Modelling[[#This Row],[Comisined DC ]]</f>
        <v>0.74470262898426864</v>
      </c>
      <c r="BU581" s="337">
        <f>BO581/BR581/Modelling[[#This Row],[Comisined DC ]]</f>
        <v>0.75816392218819151</v>
      </c>
      <c r="BV581" s="323">
        <f>BM581/(24*Modelling[[#This Row],[Comisined DC ]])</f>
        <v>0.18727669607924277</v>
      </c>
      <c r="BW581" s="323">
        <f>Modelling[[#This Row],[Target E_Grid MTD
MWh]]/Modelling[[#This Row],[MTD DC Capcity]]/(24*CG581)</f>
        <v>0.1872766960792428</v>
      </c>
      <c r="BX581" s="338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3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627</v>
      </c>
      <c r="F582" s="3" t="s">
        <v>627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323">
        <f t="shared" si="222"/>
        <v>0.69193347973063524</v>
      </c>
      <c r="Q582" s="337">
        <f t="shared" si="223"/>
        <v>0.69193347973063546</v>
      </c>
      <c r="R582" s="337">
        <f t="shared" si="224"/>
        <v>0.69339840010980536</v>
      </c>
      <c r="S582" s="323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338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627</v>
      </c>
      <c r="AD582" s="3" t="s">
        <v>627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323">
        <f t="shared" si="230"/>
        <v>0.88143217495962878</v>
      </c>
      <c r="AO582" s="323">
        <f t="shared" si="231"/>
        <v>0.88143217495962878</v>
      </c>
      <c r="AP582" s="323">
        <f t="shared" si="232"/>
        <v>0.90824639582456401</v>
      </c>
      <c r="AQ582" s="323">
        <f t="shared" si="233"/>
        <v>0.22166123647170233</v>
      </c>
      <c r="AR582" s="323">
        <f>Modelling_new[[#This Row],[Target E_Grid MTD
MWh]]/Modelling_new[[#This Row],[MTD DC Capcity]]/(24*CG582)</f>
        <v>0.19920245072325296</v>
      </c>
      <c r="AS582" s="323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627</v>
      </c>
      <c r="BI582" s="3" t="s">
        <v>627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323">
        <f>BM582/Modelling[[#This Row],[Comisined DC ]]/BP582</f>
        <v>0.74470262898426853</v>
      </c>
      <c r="BT582" s="337">
        <f>BN582/BQ582/Modelling[[#This Row],[Comisined DC ]]</f>
        <v>0.74470262898426853</v>
      </c>
      <c r="BU582" s="337">
        <f>BO582/BR582/Modelling[[#This Row],[Comisined DC ]]</f>
        <v>0.75808766174326092</v>
      </c>
      <c r="BV582" s="323">
        <f>BM582/(24*Modelling[[#This Row],[Comisined DC ]])</f>
        <v>0.18727669607924277</v>
      </c>
      <c r="BW582" s="323">
        <f>Modelling[[#This Row],[Target E_Grid MTD
MWh]]/Modelling[[#This Row],[MTD DC Capcity]]/(24*CG582)</f>
        <v>0.1872766960792428</v>
      </c>
      <c r="BX582" s="338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3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627</v>
      </c>
      <c r="F583" s="3" t="s">
        <v>627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323">
        <f t="shared" si="222"/>
        <v>0.69193347973063524</v>
      </c>
      <c r="Q583" s="337">
        <f t="shared" si="223"/>
        <v>0.69193347973063546</v>
      </c>
      <c r="R583" s="337">
        <f t="shared" si="224"/>
        <v>0.69339014784482456</v>
      </c>
      <c r="S583" s="323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338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627</v>
      </c>
      <c r="AD583" s="3" t="s">
        <v>627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323">
        <f t="shared" si="230"/>
        <v>0.88143217495962878</v>
      </c>
      <c r="AO583" s="323">
        <f t="shared" si="231"/>
        <v>0.88143217495962878</v>
      </c>
      <c r="AP583" s="323">
        <f t="shared" si="232"/>
        <v>0.90809534457360186</v>
      </c>
      <c r="AQ583" s="323">
        <f t="shared" si="233"/>
        <v>0.22166123647170233</v>
      </c>
      <c r="AR583" s="323">
        <f>Modelling_new[[#This Row],[Target E_Grid MTD
MWh]]/Modelling_new[[#This Row],[MTD DC Capcity]]/(24*CG583)</f>
        <v>0.19920245072325296</v>
      </c>
      <c r="AS583" s="323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627</v>
      </c>
      <c r="BI583" s="3" t="s">
        <v>627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323">
        <f>BM583/Modelling[[#This Row],[Comisined DC ]]/BP583</f>
        <v>0.74470262898426853</v>
      </c>
      <c r="BT583" s="337">
        <f>BN583/BQ583/Modelling[[#This Row],[Comisined DC ]]</f>
        <v>0.74470262898426864</v>
      </c>
      <c r="BU583" s="337">
        <f>BO583/BR583/Modelling[[#This Row],[Comisined DC ]]</f>
        <v>0.75801226048686787</v>
      </c>
      <c r="BV583" s="323">
        <f>BM583/(24*Modelling[[#This Row],[Comisined DC ]])</f>
        <v>0.18727669607924277</v>
      </c>
      <c r="BW583" s="323">
        <f>Modelling[[#This Row],[Target E_Grid MTD
MWh]]/Modelling[[#This Row],[MTD DC Capcity]]/(24*CG583)</f>
        <v>0.1872766960792428</v>
      </c>
      <c r="BX583" s="338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3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627</v>
      </c>
      <c r="F584" s="3" t="s">
        <v>627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323">
        <f t="shared" si="222"/>
        <v>0.69193347973063524</v>
      </c>
      <c r="Q584" s="337">
        <f t="shared" si="223"/>
        <v>0.69193347973063535</v>
      </c>
      <c r="R584" s="337">
        <f t="shared" si="224"/>
        <v>0.6933819880331995</v>
      </c>
      <c r="S584" s="323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338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627</v>
      </c>
      <c r="AD584" s="3" t="s">
        <v>627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323">
        <f t="shared" si="230"/>
        <v>0.88143217495962878</v>
      </c>
      <c r="AO584" s="323">
        <f t="shared" si="231"/>
        <v>0.88143217495962889</v>
      </c>
      <c r="AP584" s="323">
        <f t="shared" si="232"/>
        <v>0.90794598560894935</v>
      </c>
      <c r="AQ584" s="323">
        <f t="shared" si="233"/>
        <v>0.22166123647170233</v>
      </c>
      <c r="AR584" s="323">
        <f>Modelling_new[[#This Row],[Target E_Grid MTD
MWh]]/Modelling_new[[#This Row],[MTD DC Capcity]]/(24*CG584)</f>
        <v>0.19920245072325293</v>
      </c>
      <c r="AS584" s="323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627</v>
      </c>
      <c r="BI584" s="3" t="s">
        <v>627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323">
        <f>BM584/Modelling[[#This Row],[Comisined DC ]]/BP584</f>
        <v>0.74470262898426853</v>
      </c>
      <c r="BT584" s="337">
        <f>BN584/BQ584/Modelling[[#This Row],[Comisined DC ]]</f>
        <v>0.74470262898426864</v>
      </c>
      <c r="BU584" s="337">
        <f>BO584/BR584/Modelling[[#This Row],[Comisined DC ]]</f>
        <v>0.75793770398027427</v>
      </c>
      <c r="BV584" s="323">
        <f>BM584/(24*Modelling[[#This Row],[Comisined DC ]])</f>
        <v>0.18727669607924277</v>
      </c>
      <c r="BW584" s="323">
        <f>Modelling[[#This Row],[Target E_Grid MTD
MWh]]/Modelling[[#This Row],[MTD DC Capcity]]/(24*CG584)</f>
        <v>0.18727669607924285</v>
      </c>
      <c r="BX584" s="338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3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627</v>
      </c>
      <c r="F585" s="3" t="s">
        <v>627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323">
        <f t="shared" si="222"/>
        <v>0.69193347973063524</v>
      </c>
      <c r="Q585" s="337">
        <f t="shared" si="223"/>
        <v>0.69193347973063535</v>
      </c>
      <c r="R585" s="337">
        <f t="shared" si="224"/>
        <v>0.69337391912989832</v>
      </c>
      <c r="S585" s="323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338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627</v>
      </c>
      <c r="AD585" s="3" t="s">
        <v>627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323">
        <f t="shared" si="230"/>
        <v>0.88143217495962878</v>
      </c>
      <c r="AO585" s="323">
        <f t="shared" si="231"/>
        <v>0.88143217495962889</v>
      </c>
      <c r="AP585" s="323">
        <f t="shared" si="232"/>
        <v>0.90779829065000639</v>
      </c>
      <c r="AQ585" s="323">
        <f t="shared" si="233"/>
        <v>0.22166123647170233</v>
      </c>
      <c r="AR585" s="323">
        <f>Modelling_new[[#This Row],[Target E_Grid MTD
MWh]]/Modelling_new[[#This Row],[MTD DC Capcity]]/(24*CG585)</f>
        <v>0.19920245072325296</v>
      </c>
      <c r="AS585" s="323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627</v>
      </c>
      <c r="BI585" s="3" t="s">
        <v>627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323">
        <f>BM585/Modelling[[#This Row],[Comisined DC ]]/BP585</f>
        <v>0.74470262898426853</v>
      </c>
      <c r="BT585" s="337">
        <f>BN585/BQ585/Modelling[[#This Row],[Comisined DC ]]</f>
        <v>0.74470262898426864</v>
      </c>
      <c r="BU585" s="337">
        <f>BO585/BR585/Modelling[[#This Row],[Comisined DC ]]</f>
        <v>0.75786397810646466</v>
      </c>
      <c r="BV585" s="323">
        <f>BM585/(24*Modelling[[#This Row],[Comisined DC ]])</f>
        <v>0.18727669607924277</v>
      </c>
      <c r="BW585" s="323">
        <f>Modelling[[#This Row],[Target E_Grid MTD
MWh]]/Modelling[[#This Row],[MTD DC Capcity]]/(24*CG585)</f>
        <v>0.18727669607924285</v>
      </c>
      <c r="BX585" s="338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3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627</v>
      </c>
      <c r="F586" s="3" t="s">
        <v>627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323">
        <f t="shared" si="222"/>
        <v>0.69193347973063524</v>
      </c>
      <c r="Q586" s="337">
        <f t="shared" si="223"/>
        <v>0.69193347973063535</v>
      </c>
      <c r="R586" s="337">
        <f t="shared" si="224"/>
        <v>0.69336593962412474</v>
      </c>
      <c r="S586" s="323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338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627</v>
      </c>
      <c r="AD586" s="3" t="s">
        <v>627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323">
        <f t="shared" si="230"/>
        <v>0.88143217495962878</v>
      </c>
      <c r="AO586" s="323">
        <f t="shared" si="231"/>
        <v>0.88143217495962911</v>
      </c>
      <c r="AP586" s="323">
        <f t="shared" si="232"/>
        <v>0.90765223204282997</v>
      </c>
      <c r="AQ586" s="323">
        <f t="shared" si="233"/>
        <v>0.22166123647170233</v>
      </c>
      <c r="AR586" s="323">
        <f>Modelling_new[[#This Row],[Target E_Grid MTD
MWh]]/Modelling_new[[#This Row],[MTD DC Capcity]]/(24*CG586)</f>
        <v>0.19920245072325302</v>
      </c>
      <c r="AS586" s="323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627</v>
      </c>
      <c r="BI586" s="3" t="s">
        <v>627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323">
        <f>BM586/Modelling[[#This Row],[Comisined DC ]]/BP586</f>
        <v>0.74470262898426853</v>
      </c>
      <c r="BT586" s="337">
        <f>BN586/BQ586/Modelling[[#This Row],[Comisined DC ]]</f>
        <v>0.74470262898426864</v>
      </c>
      <c r="BU586" s="337">
        <f>BO586/BR586/Modelling[[#This Row],[Comisined DC ]]</f>
        <v>0.75779106906123683</v>
      </c>
      <c r="BV586" s="323">
        <f>BM586/(24*Modelling[[#This Row],[Comisined DC ]])</f>
        <v>0.18727669607924277</v>
      </c>
      <c r="BW586" s="323">
        <f>Modelling[[#This Row],[Target E_Grid MTD
MWh]]/Modelling[[#This Row],[MTD DC Capcity]]/(24*CG586)</f>
        <v>0.18727669607924285</v>
      </c>
      <c r="BX586" s="338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3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627</v>
      </c>
      <c r="F587" s="3" t="s">
        <v>627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323">
        <f t="shared" si="222"/>
        <v>0.69193347973063524</v>
      </c>
      <c r="Q587" s="337">
        <f t="shared" si="223"/>
        <v>0.69193347973063535</v>
      </c>
      <c r="R587" s="337">
        <f t="shared" si="224"/>
        <v>0.69335804803837509</v>
      </c>
      <c r="S587" s="323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338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627</v>
      </c>
      <c r="AD587" s="3" t="s">
        <v>627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323">
        <f t="shared" si="230"/>
        <v>0.88143217495962878</v>
      </c>
      <c r="AO587" s="323">
        <f t="shared" si="231"/>
        <v>0.88143217495962911</v>
      </c>
      <c r="AP587" s="323">
        <f t="shared" si="232"/>
        <v>0.90750778274287114</v>
      </c>
      <c r="AQ587" s="323">
        <f t="shared" si="233"/>
        <v>0.22166123647170233</v>
      </c>
      <c r="AR587" s="323">
        <f>Modelling_new[[#This Row],[Target E_Grid MTD
MWh]]/Modelling_new[[#This Row],[MTD DC Capcity]]/(24*CG587)</f>
        <v>0.19920245072325302</v>
      </c>
      <c r="AS587" s="323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627</v>
      </c>
      <c r="BI587" s="3" t="s">
        <v>627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323">
        <f>BM587/Modelling[[#This Row],[Comisined DC ]]/BP587</f>
        <v>0.74470262898426853</v>
      </c>
      <c r="BT587" s="337">
        <f>BN587/BQ587/Modelling[[#This Row],[Comisined DC ]]</f>
        <v>0.74470262898426876</v>
      </c>
      <c r="BU587" s="337">
        <f>BO587/BR587/Modelling[[#This Row],[Comisined DC ]]</f>
        <v>0.75771896334458366</v>
      </c>
      <c r="BV587" s="323">
        <f>BM587/(24*Modelling[[#This Row],[Comisined DC ]])</f>
        <v>0.18727669607924277</v>
      </c>
      <c r="BW587" s="323">
        <f>Modelling[[#This Row],[Target E_Grid MTD
MWh]]/Modelling[[#This Row],[MTD DC Capcity]]/(24*CG587)</f>
        <v>0.18727669607924285</v>
      </c>
      <c r="BX587" s="338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3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627</v>
      </c>
      <c r="F588" s="3" t="s">
        <v>627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323">
        <f t="shared" si="222"/>
        <v>0.69193347973063524</v>
      </c>
      <c r="Q588" s="337">
        <f t="shared" si="223"/>
        <v>0.69193347973063535</v>
      </c>
      <c r="R588" s="337">
        <f t="shared" si="224"/>
        <v>0.69335024292752623</v>
      </c>
      <c r="S588" s="323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338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627</v>
      </c>
      <c r="AD588" s="3" t="s">
        <v>627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323">
        <f t="shared" si="230"/>
        <v>0.88143217495962878</v>
      </c>
      <c r="AO588" s="323">
        <f t="shared" si="231"/>
        <v>0.88143217495962922</v>
      </c>
      <c r="AP588" s="323">
        <f t="shared" si="232"/>
        <v>0.90736491629828309</v>
      </c>
      <c r="AQ588" s="323">
        <f t="shared" si="233"/>
        <v>0.22166123647170233</v>
      </c>
      <c r="AR588" s="323">
        <f>Modelling_new[[#This Row],[Target E_Grid MTD
MWh]]/Modelling_new[[#This Row],[MTD DC Capcity]]/(24*CG588)</f>
        <v>0.19920245072325302</v>
      </c>
      <c r="AS588" s="323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627</v>
      </c>
      <c r="BI588" s="3" t="s">
        <v>627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323">
        <f>BM588/Modelling[[#This Row],[Comisined DC ]]/BP588</f>
        <v>0.74470262898426853</v>
      </c>
      <c r="BT588" s="337">
        <f>BN588/BQ588/Modelling[[#This Row],[Comisined DC ]]</f>
        <v>0.74470262898426876</v>
      </c>
      <c r="BU588" s="337">
        <f>BO588/BR588/Modelling[[#This Row],[Comisined DC ]]</f>
        <v>0.75764764775236093</v>
      </c>
      <c r="BV588" s="323">
        <f>BM588/(24*Modelling[[#This Row],[Comisined DC ]])</f>
        <v>0.18727669607924277</v>
      </c>
      <c r="BW588" s="323">
        <f>Modelling[[#This Row],[Target E_Grid MTD
MWh]]/Modelling[[#This Row],[MTD DC Capcity]]/(24*CG588)</f>
        <v>0.18727669607924288</v>
      </c>
      <c r="BX588" s="338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3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627</v>
      </c>
      <c r="F589" s="3" t="s">
        <v>627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323">
        <f t="shared" si="222"/>
        <v>0.69193347973063524</v>
      </c>
      <c r="Q589" s="337">
        <f t="shared" si="223"/>
        <v>0.69193347973063535</v>
      </c>
      <c r="R589" s="337">
        <f t="shared" si="224"/>
        <v>0.69334252287795339</v>
      </c>
      <c r="S589" s="323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338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627</v>
      </c>
      <c r="AD589" s="3" t="s">
        <v>627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323">
        <f t="shared" si="230"/>
        <v>0.88143217495962878</v>
      </c>
      <c r="AO589" s="323">
        <f t="shared" si="231"/>
        <v>0.88143217495962922</v>
      </c>
      <c r="AP589" s="323">
        <f t="shared" si="232"/>
        <v>0.90722360683377012</v>
      </c>
      <c r="AQ589" s="323">
        <f t="shared" si="233"/>
        <v>0.22166123647170233</v>
      </c>
      <c r="AR589" s="323">
        <f>Modelling_new[[#This Row],[Target E_Grid MTD
MWh]]/Modelling_new[[#This Row],[MTD DC Capcity]]/(24*CG589)</f>
        <v>0.19920245072325302</v>
      </c>
      <c r="AS589" s="323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627</v>
      </c>
      <c r="BI589" s="3" t="s">
        <v>627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323">
        <f>BM589/Modelling[[#This Row],[Comisined DC ]]/BP589</f>
        <v>0.74470262898426853</v>
      </c>
      <c r="BT589" s="337">
        <f>BN589/BQ589/Modelling[[#This Row],[Comisined DC ]]</f>
        <v>0.74470262898426876</v>
      </c>
      <c r="BU589" s="337">
        <f>BO589/BR589/Modelling[[#This Row],[Comisined DC ]]</f>
        <v>0.75757710936822575</v>
      </c>
      <c r="BV589" s="323">
        <f>BM589/(24*Modelling[[#This Row],[Comisined DC ]])</f>
        <v>0.18727669607924277</v>
      </c>
      <c r="BW589" s="323">
        <f>Modelling[[#This Row],[Target E_Grid MTD
MWh]]/Modelling[[#This Row],[MTD DC Capcity]]/(24*CG589)</f>
        <v>0.18727669607924288</v>
      </c>
      <c r="BX589" s="338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3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627</v>
      </c>
      <c r="F590" s="3" t="s">
        <v>627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323">
        <f t="shared" si="222"/>
        <v>0.69193347973063524</v>
      </c>
      <c r="Q590" s="337">
        <f t="shared" si="223"/>
        <v>0.69193347973063535</v>
      </c>
      <c r="R590" s="337">
        <f t="shared" si="224"/>
        <v>0.69333488650667663</v>
      </c>
      <c r="S590" s="323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338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627</v>
      </c>
      <c r="AD590" s="3" t="s">
        <v>627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323">
        <f t="shared" si="230"/>
        <v>0.88143217495962878</v>
      </c>
      <c r="AO590" s="323">
        <f t="shared" si="231"/>
        <v>0.88143217495962922</v>
      </c>
      <c r="AP590" s="323">
        <f t="shared" si="232"/>
        <v>0.90708382903496676</v>
      </c>
      <c r="AQ590" s="323">
        <f t="shared" si="233"/>
        <v>0.22166123647170233</v>
      </c>
      <c r="AR590" s="323">
        <f>Modelling_new[[#This Row],[Target E_Grid MTD
MWh]]/Modelling_new[[#This Row],[MTD DC Capcity]]/(24*CG590)</f>
        <v>0.19920245072325302</v>
      </c>
      <c r="AS590" s="323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627</v>
      </c>
      <c r="BI590" s="3" t="s">
        <v>627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323">
        <f>BM590/Modelling[[#This Row],[Comisined DC ]]/BP590</f>
        <v>0.74470262898426853</v>
      </c>
      <c r="BT590" s="337">
        <f>BN590/BQ590/Modelling[[#This Row],[Comisined DC ]]</f>
        <v>0.74470262898426876</v>
      </c>
      <c r="BU590" s="337">
        <f>BO590/BR590/Modelling[[#This Row],[Comisined DC ]]</f>
        <v>0.7575073355558376</v>
      </c>
      <c r="BV590" s="323">
        <f>BM590/(24*Modelling[[#This Row],[Comisined DC ]])</f>
        <v>0.18727669607924277</v>
      </c>
      <c r="BW590" s="323">
        <f>Modelling[[#This Row],[Target E_Grid MTD
MWh]]/Modelling[[#This Row],[MTD DC Capcity]]/(24*CG590)</f>
        <v>0.18727669607924288</v>
      </c>
      <c r="BX590" s="338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3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627</v>
      </c>
      <c r="F591" s="3" t="s">
        <v>627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323">
        <f t="shared" si="222"/>
        <v>0.69193347973063524</v>
      </c>
      <c r="Q591" s="337">
        <f t="shared" si="223"/>
        <v>0.69193347973063535</v>
      </c>
      <c r="R591" s="337">
        <f t="shared" si="224"/>
        <v>0.6933273324605348</v>
      </c>
      <c r="S591" s="323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338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627</v>
      </c>
      <c r="AD591" s="3" t="s">
        <v>627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323">
        <f t="shared" si="230"/>
        <v>0.88143217495962878</v>
      </c>
      <c r="AO591" s="323">
        <f t="shared" si="231"/>
        <v>0.88143217495962944</v>
      </c>
      <c r="AP591" s="323">
        <f t="shared" si="232"/>
        <v>0.90694555813331801</v>
      </c>
      <c r="AQ591" s="323">
        <f t="shared" si="233"/>
        <v>0.22166123647170233</v>
      </c>
      <c r="AR591" s="323">
        <f>Modelling_new[[#This Row],[Target E_Grid MTD
MWh]]/Modelling_new[[#This Row],[MTD DC Capcity]]/(24*CG591)</f>
        <v>0.19920245072325304</v>
      </c>
      <c r="AS591" s="323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627</v>
      </c>
      <c r="BI591" s="3" t="s">
        <v>627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323">
        <f>BM591/Modelling[[#This Row],[Comisined DC ]]/BP591</f>
        <v>0.74470262898426853</v>
      </c>
      <c r="BT591" s="337">
        <f>BN591/BQ591/Modelling[[#This Row],[Comisined DC ]]</f>
        <v>0.74470262898426876</v>
      </c>
      <c r="BU591" s="337">
        <f>BO591/BR591/Modelling[[#This Row],[Comisined DC ]]</f>
        <v>0.75743831395131256</v>
      </c>
      <c r="BV591" s="323">
        <f>BM591/(24*Modelling[[#This Row],[Comisined DC ]])</f>
        <v>0.18727669607924277</v>
      </c>
      <c r="BW591" s="323">
        <f>Modelling[[#This Row],[Target E_Grid MTD
MWh]]/Modelling[[#This Row],[MTD DC Capcity]]/(24*CG591)</f>
        <v>0.18727669607924288</v>
      </c>
      <c r="BX591" s="338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3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627</v>
      </c>
      <c r="F592" s="3" t="s">
        <v>627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323">
        <f t="shared" si="222"/>
        <v>0.69193347973063524</v>
      </c>
      <c r="Q592" s="337">
        <f t="shared" si="223"/>
        <v>0.69193347973063535</v>
      </c>
      <c r="R592" s="337">
        <f t="shared" si="224"/>
        <v>0.69331985941538632</v>
      </c>
      <c r="S592" s="323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338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627</v>
      </c>
      <c r="AD592" s="3" t="s">
        <v>627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323">
        <f t="shared" si="230"/>
        <v>0.88143217495962878</v>
      </c>
      <c r="AO592" s="323">
        <f t="shared" si="231"/>
        <v>0.88143217495962944</v>
      </c>
      <c r="AP592" s="323">
        <f t="shared" si="232"/>
        <v>0.9068087698914491</v>
      </c>
      <c r="AQ592" s="323">
        <f t="shared" si="233"/>
        <v>0.22166123647170233</v>
      </c>
      <c r="AR592" s="323">
        <f>Modelling_new[[#This Row],[Target E_Grid MTD
MWh]]/Modelling_new[[#This Row],[MTD DC Capcity]]/(24*CG592)</f>
        <v>0.19920245072325304</v>
      </c>
      <c r="AS592" s="323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627</v>
      </c>
      <c r="BI592" s="3" t="s">
        <v>627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323">
        <f>BM592/Modelling[[#This Row],[Comisined DC ]]/BP592</f>
        <v>0.74470262898426853</v>
      </c>
      <c r="BT592" s="337">
        <f>BN592/BQ592/Modelling[[#This Row],[Comisined DC ]]</f>
        <v>0.74470262898426876</v>
      </c>
      <c r="BU592" s="337">
        <f>BO592/BR592/Modelling[[#This Row],[Comisined DC ]]</f>
        <v>0.75737003245591961</v>
      </c>
      <c r="BV592" s="323">
        <f>BM592/(24*Modelling[[#This Row],[Comisined DC ]])</f>
        <v>0.18727669607924277</v>
      </c>
      <c r="BW592" s="323">
        <f>Modelling[[#This Row],[Target E_Grid MTD
MWh]]/Modelling[[#This Row],[MTD DC Capcity]]/(24*CG592)</f>
        <v>0.18727669607924291</v>
      </c>
      <c r="BX592" s="338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3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627</v>
      </c>
      <c r="F593" s="3" t="s">
        <v>627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323">
        <f t="shared" si="222"/>
        <v>0.69193347973063524</v>
      </c>
      <c r="Q593" s="337">
        <f t="shared" si="223"/>
        <v>0.69193347973063535</v>
      </c>
      <c r="R593" s="337">
        <f t="shared" si="224"/>
        <v>0.69331246607533537</v>
      </c>
      <c r="S593" s="323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338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627</v>
      </c>
      <c r="AD593" s="3" t="s">
        <v>627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323">
        <f t="shared" si="230"/>
        <v>0.88143217495962878</v>
      </c>
      <c r="AO593" s="323">
        <f t="shared" si="231"/>
        <v>0.88143217495962944</v>
      </c>
      <c r="AP593" s="323">
        <f t="shared" si="232"/>
        <v>0.9066734405890009</v>
      </c>
      <c r="AQ593" s="323">
        <f t="shared" si="233"/>
        <v>0.22166123647170233</v>
      </c>
      <c r="AR593" s="323">
        <f>Modelling_new[[#This Row],[Target E_Grid MTD
MWh]]/Modelling_new[[#This Row],[MTD DC Capcity]]/(24*CG593)</f>
        <v>0.19920245072325304</v>
      </c>
      <c r="AS593" s="323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627</v>
      </c>
      <c r="BI593" s="3" t="s">
        <v>627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323">
        <f>BM593/Modelling[[#This Row],[Comisined DC ]]/BP593</f>
        <v>0.74470262898426853</v>
      </c>
      <c r="BT593" s="337">
        <f>BN593/BQ593/Modelling[[#This Row],[Comisined DC ]]</f>
        <v>0.74470262898426887</v>
      </c>
      <c r="BU593" s="337">
        <f>BO593/BR593/Modelling[[#This Row],[Comisined DC ]]</f>
        <v>0.75730247922900895</v>
      </c>
      <c r="BV593" s="323">
        <f>BM593/(24*Modelling[[#This Row],[Comisined DC ]])</f>
        <v>0.18727669607924277</v>
      </c>
      <c r="BW593" s="323">
        <f>Modelling[[#This Row],[Target E_Grid MTD
MWh]]/Modelling[[#This Row],[MTD DC Capcity]]/(24*CG593)</f>
        <v>0.18727669607924291</v>
      </c>
      <c r="BX593" s="338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3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627</v>
      </c>
      <c r="F594" s="3" t="s">
        <v>627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323">
        <f t="shared" si="222"/>
        <v>0.69193347973063524</v>
      </c>
      <c r="Q594" s="337">
        <f t="shared" si="223"/>
        <v>0.69193347973063535</v>
      </c>
      <c r="R594" s="337">
        <f t="shared" si="224"/>
        <v>0.69330515117198277</v>
      </c>
      <c r="S594" s="323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338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627</v>
      </c>
      <c r="AD594" s="3" t="s">
        <v>627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323">
        <f t="shared" si="230"/>
        <v>0.88143217495962878</v>
      </c>
      <c r="AO594" s="323">
        <f t="shared" si="231"/>
        <v>0.88143217495962956</v>
      </c>
      <c r="AP594" s="323">
        <f t="shared" si="232"/>
        <v>0.90653954700891792</v>
      </c>
      <c r="AQ594" s="323">
        <f t="shared" si="233"/>
        <v>0.22166123647170233</v>
      </c>
      <c r="AR594" s="323">
        <f>Modelling_new[[#This Row],[Target E_Grid MTD
MWh]]/Modelling_new[[#This Row],[MTD DC Capcity]]/(24*CG594)</f>
        <v>0.19920245072325304</v>
      </c>
      <c r="AS594" s="323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627</v>
      </c>
      <c r="BI594" s="3" t="s">
        <v>627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323">
        <f>BM594/Modelling[[#This Row],[Comisined DC ]]/BP594</f>
        <v>0.74470262898426853</v>
      </c>
      <c r="BT594" s="337">
        <f>BN594/BQ594/Modelling[[#This Row],[Comisined DC ]]</f>
        <v>0.74470262898426887</v>
      </c>
      <c r="BU594" s="337">
        <f>BO594/BR594/Modelling[[#This Row],[Comisined DC ]]</f>
        <v>0.75723564268116905</v>
      </c>
      <c r="BV594" s="323">
        <f>BM594/(24*Modelling[[#This Row],[Comisined DC ]])</f>
        <v>0.18727669607924277</v>
      </c>
      <c r="BW594" s="323">
        <f>Modelling[[#This Row],[Target E_Grid MTD
MWh]]/Modelling[[#This Row],[MTD DC Capcity]]/(24*CG594)</f>
        <v>0.18727669607924294</v>
      </c>
      <c r="BX594" s="338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3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627</v>
      </c>
      <c r="F595" s="3" t="s">
        <v>627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323">
        <f t="shared" si="222"/>
        <v>0.69193347973063524</v>
      </c>
      <c r="Q595" s="337">
        <f t="shared" si="223"/>
        <v>0.69193347973063535</v>
      </c>
      <c r="R595" s="337">
        <f t="shared" si="224"/>
        <v>0.6932979134637004</v>
      </c>
      <c r="S595" s="323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338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627</v>
      </c>
      <c r="AD595" s="3" t="s">
        <v>627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323">
        <f t="shared" si="230"/>
        <v>0.88143217495962878</v>
      </c>
      <c r="AO595" s="323">
        <f t="shared" si="231"/>
        <v>0.88143217495962956</v>
      </c>
      <c r="AP595" s="323">
        <f t="shared" si="232"/>
        <v>0.90640706642416946</v>
      </c>
      <c r="AQ595" s="323">
        <f t="shared" si="233"/>
        <v>0.22166123647170233</v>
      </c>
      <c r="AR595" s="323">
        <f>Modelling_new[[#This Row],[Target E_Grid MTD
MWh]]/Modelling_new[[#This Row],[MTD DC Capcity]]/(24*CG595)</f>
        <v>0.19920245072325304</v>
      </c>
      <c r="AS595" s="323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627</v>
      </c>
      <c r="BI595" s="3" t="s">
        <v>627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323">
        <f>BM595/Modelling[[#This Row],[Comisined DC ]]/BP595</f>
        <v>0.74470262898426853</v>
      </c>
      <c r="BT595" s="337">
        <f>BN595/BQ595/Modelling[[#This Row],[Comisined DC ]]</f>
        <v>0.74470262898426887</v>
      </c>
      <c r="BU595" s="337">
        <f>BO595/BR595/Modelling[[#This Row],[Comisined DC ]]</f>
        <v>0.75716951146759692</v>
      </c>
      <c r="BV595" s="323">
        <f>BM595/(24*Modelling[[#This Row],[Comisined DC ]])</f>
        <v>0.18727669607924277</v>
      </c>
      <c r="BW595" s="323">
        <f>Modelling[[#This Row],[Target E_Grid MTD
MWh]]/Modelling[[#This Row],[MTD DC Capcity]]/(24*CG595)</f>
        <v>0.18727669607924294</v>
      </c>
      <c r="BX595" s="338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3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627</v>
      </c>
      <c r="F596" s="3" t="s">
        <v>627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323">
        <f t="shared" si="222"/>
        <v>0.69193347973063524</v>
      </c>
      <c r="Q596" s="337">
        <f t="shared" si="223"/>
        <v>0.69193347973063535</v>
      </c>
      <c r="R596" s="337">
        <f t="shared" si="224"/>
        <v>0.69329075173492849</v>
      </c>
      <c r="S596" s="323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338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627</v>
      </c>
      <c r="AD596" s="3" t="s">
        <v>627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323">
        <f t="shared" si="230"/>
        <v>0.88143217495962878</v>
      </c>
      <c r="AO596" s="323">
        <f t="shared" si="231"/>
        <v>0.88143217495962956</v>
      </c>
      <c r="AP596" s="323">
        <f t="shared" si="232"/>
        <v>0.90627597658488923</v>
      </c>
      <c r="AQ596" s="323">
        <f t="shared" si="233"/>
        <v>0.22166123647170233</v>
      </c>
      <c r="AR596" s="323">
        <f>Modelling_new[[#This Row],[Target E_Grid MTD
MWh]]/Modelling_new[[#This Row],[MTD DC Capcity]]/(24*CG596)</f>
        <v>0.19920245072325307</v>
      </c>
      <c r="AS596" s="323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627</v>
      </c>
      <c r="BI596" s="3" t="s">
        <v>627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323">
        <f>BM596/Modelling[[#This Row],[Comisined DC ]]/BP596</f>
        <v>0.74470262898426853</v>
      </c>
      <c r="BT596" s="337">
        <f>BN596/BQ596/Modelling[[#This Row],[Comisined DC ]]</f>
        <v>0.74470262898426887</v>
      </c>
      <c r="BU596" s="337">
        <f>BO596/BR596/Modelling[[#This Row],[Comisined DC ]]</f>
        <v>0.75710407448167905</v>
      </c>
      <c r="BV596" s="323">
        <f>BM596/(24*Modelling[[#This Row],[Comisined DC ]])</f>
        <v>0.18727669607924277</v>
      </c>
      <c r="BW596" s="323">
        <f>Modelling[[#This Row],[Target E_Grid MTD
MWh]]/Modelling[[#This Row],[MTD DC Capcity]]/(24*CG596)</f>
        <v>0.18727669607924294</v>
      </c>
      <c r="BX596" s="338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3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627</v>
      </c>
      <c r="F597" s="3" t="s">
        <v>627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323">
        <f t="shared" si="222"/>
        <v>0.69193347973063524</v>
      </c>
      <c r="Q597" s="337">
        <f t="shared" si="223"/>
        <v>0.69193347973063535</v>
      </c>
      <c r="R597" s="337">
        <f t="shared" si="224"/>
        <v>0.69328366479549564</v>
      </c>
      <c r="S597" s="323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338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627</v>
      </c>
      <c r="AD597" s="3" t="s">
        <v>627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323">
        <f t="shared" si="230"/>
        <v>0.88143217495962878</v>
      </c>
      <c r="AO597" s="323">
        <f t="shared" si="231"/>
        <v>0.88143217495962956</v>
      </c>
      <c r="AP597" s="323">
        <f t="shared" si="232"/>
        <v>0.90614625570591811</v>
      </c>
      <c r="AQ597" s="323">
        <f t="shared" si="233"/>
        <v>0.22166123647170233</v>
      </c>
      <c r="AR597" s="323">
        <f>Modelling_new[[#This Row],[Target E_Grid MTD
MWh]]/Modelling_new[[#This Row],[MTD DC Capcity]]/(24*CG597)</f>
        <v>0.19920245072325307</v>
      </c>
      <c r="AS597" s="323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627</v>
      </c>
      <c r="BI597" s="3" t="s">
        <v>627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323">
        <f>BM597/Modelling[[#This Row],[Comisined DC ]]/BP597</f>
        <v>0.74470262898426853</v>
      </c>
      <c r="BT597" s="337">
        <f>BN597/BQ597/Modelling[[#This Row],[Comisined DC ]]</f>
        <v>0.74470262898426887</v>
      </c>
      <c r="BU597" s="337">
        <f>BO597/BR597/Modelling[[#This Row],[Comisined DC ]]</f>
        <v>0.7570393208487729</v>
      </c>
      <c r="BV597" s="323">
        <f>BM597/(24*Modelling[[#This Row],[Comisined DC ]])</f>
        <v>0.18727669607924277</v>
      </c>
      <c r="BW597" s="323">
        <f>Modelling[[#This Row],[Target E_Grid MTD
MWh]]/Modelling[[#This Row],[MTD DC Capcity]]/(24*CG597)</f>
        <v>0.18727669607924294</v>
      </c>
      <c r="BX597" s="338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3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627</v>
      </c>
      <c r="F598" s="3" t="s">
        <v>627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323">
        <f t="shared" si="222"/>
        <v>0.69243740514963059</v>
      </c>
      <c r="Q598" s="337">
        <f t="shared" si="223"/>
        <v>0.69243740514963059</v>
      </c>
      <c r="R598" s="337">
        <f t="shared" si="224"/>
        <v>0.69327899536166926</v>
      </c>
      <c r="S598" s="323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338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627</v>
      </c>
      <c r="AD598" s="3" t="s">
        <v>627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323">
        <f t="shared" si="230"/>
        <v>0.83233237102108171</v>
      </c>
      <c r="AO598" s="323">
        <f t="shared" si="231"/>
        <v>0.83233237102108171</v>
      </c>
      <c r="AP598" s="323">
        <f t="shared" si="232"/>
        <v>0.90573897048124075</v>
      </c>
      <c r="AQ598" s="323">
        <f t="shared" si="233"/>
        <v>0.22241770581174464</v>
      </c>
      <c r="AR598" s="323">
        <f>Modelling_new[[#This Row],[Target E_Grid MTD
MWh]]/Modelling_new[[#This Row],[MTD DC Capcity]]/(24*CG598)</f>
        <v>0.19988227435336559</v>
      </c>
      <c r="AS598" s="323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627</v>
      </c>
      <c r="BI598" s="3" t="s">
        <v>627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323">
        <f>BM598/Modelling[[#This Row],[Comisined DC ]]/BP598</f>
        <v>0.7217013143290083</v>
      </c>
      <c r="BT598" s="337">
        <f>BN598/BQ598/Modelling[[#This Row],[Comisined DC ]]</f>
        <v>0.72170131432900819</v>
      </c>
      <c r="BU598" s="337">
        <f>BO598/BR598/Modelling[[#This Row],[Comisined DC ]]</f>
        <v>0.75684433520363981</v>
      </c>
      <c r="BV598" s="323">
        <f>BM598/(24*Modelling[[#This Row],[Comisined DC ]])</f>
        <v>0.19285462899569608</v>
      </c>
      <c r="BW598" s="323">
        <f>Modelling[[#This Row],[Target E_Grid MTD
MWh]]/Modelling[[#This Row],[MTD DC Capcity]]/(24*CG598)</f>
        <v>0.19285462899569608</v>
      </c>
      <c r="BX598" s="338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3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627</v>
      </c>
      <c r="F599" s="3" t="s">
        <v>627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323">
        <f t="shared" si="222"/>
        <v>0.69243740514963059</v>
      </c>
      <c r="Q599" s="337">
        <f t="shared" si="223"/>
        <v>0.69243740514963059</v>
      </c>
      <c r="R599" s="337">
        <f t="shared" si="224"/>
        <v>0.69327437717444562</v>
      </c>
      <c r="S599" s="323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338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627</v>
      </c>
      <c r="AD599" s="3" t="s">
        <v>627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323">
        <f t="shared" si="230"/>
        <v>0.83233237102108171</v>
      </c>
      <c r="AO599" s="323">
        <f t="shared" si="231"/>
        <v>0.83233237102108171</v>
      </c>
      <c r="AP599" s="323">
        <f t="shared" si="232"/>
        <v>0.90533615517409349</v>
      </c>
      <c r="AQ599" s="323">
        <f t="shared" si="233"/>
        <v>0.22241770581174464</v>
      </c>
      <c r="AR599" s="323">
        <f>Modelling_new[[#This Row],[Target E_Grid MTD
MWh]]/Modelling_new[[#This Row],[MTD DC Capcity]]/(24*CG599)</f>
        <v>0.19988227435336559</v>
      </c>
      <c r="AS599" s="323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627</v>
      </c>
      <c r="BI599" s="3" t="s">
        <v>627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323">
        <f>BM599/Modelling[[#This Row],[Comisined DC ]]/BP599</f>
        <v>0.7217013143290083</v>
      </c>
      <c r="BT599" s="337">
        <f>BN599/BQ599/Modelling[[#This Row],[Comisined DC ]]</f>
        <v>0.72170131432900819</v>
      </c>
      <c r="BU599" s="337">
        <f>BO599/BR599/Modelling[[#This Row],[Comisined DC ]]</f>
        <v>0.75665148950786032</v>
      </c>
      <c r="BV599" s="323">
        <f>BM599/(24*Modelling[[#This Row],[Comisined DC ]])</f>
        <v>0.19285462899569608</v>
      </c>
      <c r="BW599" s="323">
        <f>Modelling[[#This Row],[Target E_Grid MTD
MWh]]/Modelling[[#This Row],[MTD DC Capcity]]/(24*CG599)</f>
        <v>0.19285462899569608</v>
      </c>
      <c r="BX599" s="338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3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627</v>
      </c>
      <c r="F600" s="3" t="s">
        <v>627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323">
        <f t="shared" si="222"/>
        <v>0.69243740514963059</v>
      </c>
      <c r="Q600" s="337">
        <f t="shared" si="223"/>
        <v>0.69243740514963059</v>
      </c>
      <c r="R600" s="337">
        <f t="shared" si="224"/>
        <v>0.69326980939478888</v>
      </c>
      <c r="S600" s="323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338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627</v>
      </c>
      <c r="AD600" s="3" t="s">
        <v>627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323">
        <f t="shared" si="230"/>
        <v>0.83233237102108171</v>
      </c>
      <c r="AO600" s="323">
        <f t="shared" si="231"/>
        <v>0.83233237102108171</v>
      </c>
      <c r="AP600" s="323">
        <f t="shared" si="232"/>
        <v>0.90493773660067411</v>
      </c>
      <c r="AQ600" s="323">
        <f t="shared" si="233"/>
        <v>0.22241770581174464</v>
      </c>
      <c r="AR600" s="323">
        <f>Modelling_new[[#This Row],[Target E_Grid MTD
MWh]]/Modelling_new[[#This Row],[MTD DC Capcity]]/(24*CG600)</f>
        <v>0.19988227435336553</v>
      </c>
      <c r="AS600" s="323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627</v>
      </c>
      <c r="BI600" s="3" t="s">
        <v>627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323">
        <f>BM600/Modelling[[#This Row],[Comisined DC ]]/BP600</f>
        <v>0.7217013143290083</v>
      </c>
      <c r="BT600" s="337">
        <f>BN600/BQ600/Modelling[[#This Row],[Comisined DC ]]</f>
        <v>0.72170131432900819</v>
      </c>
      <c r="BU600" s="337">
        <f>BO600/BR600/Modelling[[#This Row],[Comisined DC ]]</f>
        <v>0.75646074872507663</v>
      </c>
      <c r="BV600" s="323">
        <f>BM600/(24*Modelling[[#This Row],[Comisined DC ]])</f>
        <v>0.19285462899569608</v>
      </c>
      <c r="BW600" s="323">
        <f>Modelling[[#This Row],[Target E_Grid MTD
MWh]]/Modelling[[#This Row],[MTD DC Capcity]]/(24*CG600)</f>
        <v>0.19285462899569608</v>
      </c>
      <c r="BX600" s="338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3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627</v>
      </c>
      <c r="F601" s="3" t="s">
        <v>627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323">
        <f t="shared" si="222"/>
        <v>0.69243740514963059</v>
      </c>
      <c r="Q601" s="337">
        <f t="shared" si="223"/>
        <v>0.69243740514963059</v>
      </c>
      <c r="R601" s="337">
        <f t="shared" si="224"/>
        <v>0.69326529120187996</v>
      </c>
      <c r="S601" s="323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338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627</v>
      </c>
      <c r="AD601" s="3" t="s">
        <v>627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323">
        <f t="shared" si="230"/>
        <v>0.83233237102108171</v>
      </c>
      <c r="AO601" s="323">
        <f t="shared" si="231"/>
        <v>0.83233237102108171</v>
      </c>
      <c r="AP601" s="323">
        <f t="shared" si="232"/>
        <v>0.90454364316611302</v>
      </c>
      <c r="AQ601" s="323">
        <f t="shared" si="233"/>
        <v>0.22241770581174464</v>
      </c>
      <c r="AR601" s="323">
        <f>Modelling_new[[#This Row],[Target E_Grid MTD
MWh]]/Modelling_new[[#This Row],[MTD DC Capcity]]/(24*CG601)</f>
        <v>0.19988227435336559</v>
      </c>
      <c r="AS601" s="323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627</v>
      </c>
      <c r="BI601" s="3" t="s">
        <v>627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323">
        <f>BM601/Modelling[[#This Row],[Comisined DC ]]/BP601</f>
        <v>0.7217013143290083</v>
      </c>
      <c r="BT601" s="337">
        <f>BN601/BQ601/Modelling[[#This Row],[Comisined DC ]]</f>
        <v>0.72170131432900819</v>
      </c>
      <c r="BU601" s="337">
        <f>BO601/BR601/Modelling[[#This Row],[Comisined DC ]]</f>
        <v>0.75627207857962397</v>
      </c>
      <c r="BV601" s="323">
        <f>BM601/(24*Modelling[[#This Row],[Comisined DC ]])</f>
        <v>0.19285462899569608</v>
      </c>
      <c r="BW601" s="323">
        <f>Modelling[[#This Row],[Target E_Grid MTD
MWh]]/Modelling[[#This Row],[MTD DC Capcity]]/(24*CG601)</f>
        <v>0.19285462899569608</v>
      </c>
      <c r="BX601" s="338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3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627</v>
      </c>
      <c r="F602" s="3" t="s">
        <v>627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323">
        <f t="shared" si="222"/>
        <v>0.69243740514963059</v>
      </c>
      <c r="Q602" s="337">
        <f t="shared" si="223"/>
        <v>0.6924374051496307</v>
      </c>
      <c r="R602" s="337">
        <f t="shared" si="224"/>
        <v>0.6932608217926246</v>
      </c>
      <c r="S602" s="323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338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627</v>
      </c>
      <c r="AD602" s="3" t="s">
        <v>627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323">
        <f t="shared" si="230"/>
        <v>0.83233237102108171</v>
      </c>
      <c r="AO602" s="323">
        <f t="shared" si="231"/>
        <v>0.83233237102108182</v>
      </c>
      <c r="AP602" s="323">
        <f t="shared" si="232"/>
        <v>0.90415380482158303</v>
      </c>
      <c r="AQ602" s="323">
        <f t="shared" si="233"/>
        <v>0.22241770581174464</v>
      </c>
      <c r="AR602" s="323">
        <f>Modelling_new[[#This Row],[Target E_Grid MTD
MWh]]/Modelling_new[[#This Row],[MTD DC Capcity]]/(24*CG602)</f>
        <v>0.19988227435336556</v>
      </c>
      <c r="AS602" s="323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627</v>
      </c>
      <c r="BI602" s="3" t="s">
        <v>627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323">
        <f>BM602/Modelling[[#This Row],[Comisined DC ]]/BP602</f>
        <v>0.7217013143290083</v>
      </c>
      <c r="BT602" s="337">
        <f>BN602/BQ602/Modelling[[#This Row],[Comisined DC ]]</f>
        <v>0.72170131432900841</v>
      </c>
      <c r="BU602" s="337">
        <f>BO602/BR602/Modelling[[#This Row],[Comisined DC ]]</f>
        <v>0.7560854455359971</v>
      </c>
      <c r="BV602" s="323">
        <f>BM602/(24*Modelling[[#This Row],[Comisined DC ]])</f>
        <v>0.19285462899569608</v>
      </c>
      <c r="BW602" s="323">
        <f>Modelling[[#This Row],[Target E_Grid MTD
MWh]]/Modelling[[#This Row],[MTD DC Capcity]]/(24*CG602)</f>
        <v>0.19285462899569608</v>
      </c>
      <c r="BX602" s="338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3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627</v>
      </c>
      <c r="F603" s="3" t="s">
        <v>627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323">
        <f t="shared" si="222"/>
        <v>0.69243740514963059</v>
      </c>
      <c r="Q603" s="337">
        <f t="shared" si="223"/>
        <v>0.69243740514963059</v>
      </c>
      <c r="R603" s="337">
        <f t="shared" si="224"/>
        <v>0.69325640038117775</v>
      </c>
      <c r="S603" s="323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338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627</v>
      </c>
      <c r="AD603" s="3" t="s">
        <v>627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323">
        <f t="shared" si="230"/>
        <v>0.83233237102108171</v>
      </c>
      <c r="AO603" s="323">
        <f t="shared" si="231"/>
        <v>0.83233237102108171</v>
      </c>
      <c r="AP603" s="323">
        <f t="shared" si="232"/>
        <v>0.90376815302279145</v>
      </c>
      <c r="AQ603" s="323">
        <f t="shared" si="233"/>
        <v>0.22241770581174464</v>
      </c>
      <c r="AR603" s="323">
        <f>Modelling_new[[#This Row],[Target E_Grid MTD
MWh]]/Modelling_new[[#This Row],[MTD DC Capcity]]/(24*CG603)</f>
        <v>0.19988227435336559</v>
      </c>
      <c r="AS603" s="323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627</v>
      </c>
      <c r="BI603" s="3" t="s">
        <v>627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323">
        <f>BM603/Modelling[[#This Row],[Comisined DC ]]/BP603</f>
        <v>0.7217013143290083</v>
      </c>
      <c r="BT603" s="337">
        <f>BN603/BQ603/Modelling[[#This Row],[Comisined DC ]]</f>
        <v>0.72170131432900819</v>
      </c>
      <c r="BU603" s="337">
        <f>BO603/BR603/Modelling[[#This Row],[Comisined DC ]]</f>
        <v>0.75590081677897869</v>
      </c>
      <c r="BV603" s="323">
        <f>BM603/(24*Modelling[[#This Row],[Comisined DC ]])</f>
        <v>0.19285462899569608</v>
      </c>
      <c r="BW603" s="323">
        <f>Modelling[[#This Row],[Target E_Grid MTD
MWh]]/Modelling[[#This Row],[MTD DC Capcity]]/(24*CG603)</f>
        <v>0.19285462899569608</v>
      </c>
      <c r="BX603" s="338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3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627</v>
      </c>
      <c r="F604" s="3" t="s">
        <v>627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323">
        <f t="shared" si="222"/>
        <v>0.69243740514963059</v>
      </c>
      <c r="Q604" s="337">
        <f t="shared" si="223"/>
        <v>0.69243740514963048</v>
      </c>
      <c r="R604" s="337">
        <f t="shared" si="224"/>
        <v>0.69325202619848336</v>
      </c>
      <c r="S604" s="323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338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627</v>
      </c>
      <c r="AD604" s="3" t="s">
        <v>627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323">
        <f t="shared" si="230"/>
        <v>0.83233237102108171</v>
      </c>
      <c r="AO604" s="323">
        <f t="shared" si="231"/>
        <v>0.83233237102108171</v>
      </c>
      <c r="AP604" s="323">
        <f t="shared" si="232"/>
        <v>0.90338662068980236</v>
      </c>
      <c r="AQ604" s="323">
        <f t="shared" si="233"/>
        <v>0.22241770581174464</v>
      </c>
      <c r="AR604" s="323">
        <f>Modelling_new[[#This Row],[Target E_Grid MTD
MWh]]/Modelling_new[[#This Row],[MTD DC Capcity]]/(24*CG604)</f>
        <v>0.19988227435336561</v>
      </c>
      <c r="AS604" s="323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627</v>
      </c>
      <c r="BI604" s="3" t="s">
        <v>627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323">
        <f>BM604/Modelling[[#This Row],[Comisined DC ]]/BP604</f>
        <v>0.7217013143290083</v>
      </c>
      <c r="BT604" s="337">
        <f>BN604/BQ604/Modelling[[#This Row],[Comisined DC ]]</f>
        <v>0.72170131432900819</v>
      </c>
      <c r="BU604" s="337">
        <f>BO604/BR604/Modelling[[#This Row],[Comisined DC ]]</f>
        <v>0.75571816019440474</v>
      </c>
      <c r="BV604" s="323">
        <f>BM604/(24*Modelling[[#This Row],[Comisined DC ]])</f>
        <v>0.19285462899569608</v>
      </c>
      <c r="BW604" s="323">
        <f>Modelling[[#This Row],[Target E_Grid MTD
MWh]]/Modelling[[#This Row],[MTD DC Capcity]]/(24*CG604)</f>
        <v>0.19285462899569605</v>
      </c>
      <c r="BX604" s="338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3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627</v>
      </c>
      <c r="F605" s="3" t="s">
        <v>627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323">
        <f t="shared" si="222"/>
        <v>0.69243740514963059</v>
      </c>
      <c r="Q605" s="337">
        <f t="shared" si="223"/>
        <v>0.69243740514963048</v>
      </c>
      <c r="R605" s="337">
        <f t="shared" si="224"/>
        <v>0.69324769849182721</v>
      </c>
      <c r="S605" s="323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338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627</v>
      </c>
      <c r="AD605" s="3" t="s">
        <v>627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323">
        <f t="shared" si="230"/>
        <v>0.83233237102108171</v>
      </c>
      <c r="AO605" s="323">
        <f t="shared" si="231"/>
        <v>0.83233237102108171</v>
      </c>
      <c r="AP605" s="323">
        <f t="shared" si="232"/>
        <v>0.9030091421681391</v>
      </c>
      <c r="AQ605" s="323">
        <f t="shared" si="233"/>
        <v>0.22241770581174464</v>
      </c>
      <c r="AR605" s="323">
        <f>Modelling_new[[#This Row],[Target E_Grid MTD
MWh]]/Modelling_new[[#This Row],[MTD DC Capcity]]/(24*CG605)</f>
        <v>0.19988227435336559</v>
      </c>
      <c r="AS605" s="323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627</v>
      </c>
      <c r="BI605" s="3" t="s">
        <v>627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323">
        <f>BM605/Modelling[[#This Row],[Comisined DC ]]/BP605</f>
        <v>0.7217013143290083</v>
      </c>
      <c r="BT605" s="337">
        <f>BN605/BQ605/Modelling[[#This Row],[Comisined DC ]]</f>
        <v>0.72170131432900819</v>
      </c>
      <c r="BU605" s="337">
        <f>BO605/BR605/Modelling[[#This Row],[Comisined DC ]]</f>
        <v>0.75553744435054215</v>
      </c>
      <c r="BV605" s="323">
        <f>BM605/(24*Modelling[[#This Row],[Comisined DC ]])</f>
        <v>0.19285462899569608</v>
      </c>
      <c r="BW605" s="323">
        <f>Modelling[[#This Row],[Target E_Grid MTD
MWh]]/Modelling[[#This Row],[MTD DC Capcity]]/(24*CG605)</f>
        <v>0.19285462899569605</v>
      </c>
      <c r="BX605" s="338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3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627</v>
      </c>
      <c r="F606" s="3" t="s">
        <v>627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323">
        <f t="shared" si="222"/>
        <v>0.69243740514963059</v>
      </c>
      <c r="Q606" s="337">
        <f t="shared" si="223"/>
        <v>0.69243740514963048</v>
      </c>
      <c r="R606" s="337">
        <f t="shared" si="224"/>
        <v>0.69324341652440635</v>
      </c>
      <c r="S606" s="323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338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627</v>
      </c>
      <c r="AD606" s="3" t="s">
        <v>627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323">
        <f t="shared" si="230"/>
        <v>0.83233237102108171</v>
      </c>
      <c r="AO606" s="323">
        <f t="shared" si="231"/>
        <v>0.83233237102108171</v>
      </c>
      <c r="AP606" s="323">
        <f t="shared" si="232"/>
        <v>0.90263565319111994</v>
      </c>
      <c r="AQ606" s="323">
        <f t="shared" si="233"/>
        <v>0.22241770581174464</v>
      </c>
      <c r="AR606" s="323">
        <f>Modelling_new[[#This Row],[Target E_Grid MTD
MWh]]/Modelling_new[[#This Row],[MTD DC Capcity]]/(24*CG606)</f>
        <v>0.19988227435336561</v>
      </c>
      <c r="AS606" s="323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627</v>
      </c>
      <c r="BI606" s="3" t="s">
        <v>627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323">
        <f>BM606/Modelling[[#This Row],[Comisined DC ]]/BP606</f>
        <v>0.7217013143290083</v>
      </c>
      <c r="BT606" s="337">
        <f>BN606/BQ606/Modelling[[#This Row],[Comisined DC ]]</f>
        <v>0.72170131432900819</v>
      </c>
      <c r="BU606" s="337">
        <f>BO606/BR606/Modelling[[#This Row],[Comisined DC ]]</f>
        <v>0.75535863848005691</v>
      </c>
      <c r="BV606" s="323">
        <f>BM606/(24*Modelling[[#This Row],[Comisined DC ]])</f>
        <v>0.19285462899569608</v>
      </c>
      <c r="BW606" s="323">
        <f>Modelling[[#This Row],[Target E_Grid MTD
MWh]]/Modelling[[#This Row],[MTD DC Capcity]]/(24*CG606)</f>
        <v>0.19285462899569608</v>
      </c>
      <c r="BX606" s="338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3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627</v>
      </c>
      <c r="F607" s="3" t="s">
        <v>627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323">
        <f t="shared" si="222"/>
        <v>0.69243740514963059</v>
      </c>
      <c r="Q607" s="337">
        <f t="shared" si="223"/>
        <v>0.69243740514963048</v>
      </c>
      <c r="R607" s="337">
        <f t="shared" si="224"/>
        <v>0.69323917957491032</v>
      </c>
      <c r="S607" s="323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338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627</v>
      </c>
      <c r="AD607" s="3" t="s">
        <v>627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323">
        <f t="shared" si="230"/>
        <v>0.83233237102108171</v>
      </c>
      <c r="AO607" s="323">
        <f t="shared" si="231"/>
        <v>0.83233237102108182</v>
      </c>
      <c r="AP607" s="323">
        <f t="shared" si="232"/>
        <v>0.90226609084338316</v>
      </c>
      <c r="AQ607" s="323">
        <f t="shared" si="233"/>
        <v>0.22241770581174464</v>
      </c>
      <c r="AR607" s="323">
        <f>Modelling_new[[#This Row],[Target E_Grid MTD
MWh]]/Modelling_new[[#This Row],[MTD DC Capcity]]/(24*CG607)</f>
        <v>0.19988227435336559</v>
      </c>
      <c r="AS607" s="323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627</v>
      </c>
      <c r="BI607" s="3" t="s">
        <v>627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323">
        <f>BM607/Modelling[[#This Row],[Comisined DC ]]/BP607</f>
        <v>0.7217013143290083</v>
      </c>
      <c r="BT607" s="337">
        <f>BN607/BQ607/Modelling[[#This Row],[Comisined DC ]]</f>
        <v>0.72170131432900819</v>
      </c>
      <c r="BU607" s="337">
        <f>BO607/BR607/Modelling[[#This Row],[Comisined DC ]]</f>
        <v>0.75518171246255283</v>
      </c>
      <c r="BV607" s="323">
        <f>BM607/(24*Modelling[[#This Row],[Comisined DC ]])</f>
        <v>0.19285462899569608</v>
      </c>
      <c r="BW607" s="323">
        <f>Modelling[[#This Row],[Target E_Grid MTD
MWh]]/Modelling[[#This Row],[MTD DC Capcity]]/(24*CG607)</f>
        <v>0.19285462899569605</v>
      </c>
      <c r="BX607" s="338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3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627</v>
      </c>
      <c r="F608" s="3" t="s">
        <v>627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323">
        <f t="shared" si="222"/>
        <v>0.69243740514963059</v>
      </c>
      <c r="Q608" s="337">
        <f t="shared" si="223"/>
        <v>0.6924374051496307</v>
      </c>
      <c r="R608" s="337">
        <f t="shared" si="224"/>
        <v>0.69323498693711594</v>
      </c>
      <c r="S608" s="323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338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627</v>
      </c>
      <c r="AD608" s="3" t="s">
        <v>627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323">
        <f t="shared" si="230"/>
        <v>0.83233237102108171</v>
      </c>
      <c r="AO608" s="323">
        <f t="shared" si="231"/>
        <v>0.83233237102108193</v>
      </c>
      <c r="AP608" s="323">
        <f t="shared" si="232"/>
        <v>0.90190039352555407</v>
      </c>
      <c r="AQ608" s="323">
        <f t="shared" si="233"/>
        <v>0.22241770581174464</v>
      </c>
      <c r="AR608" s="323">
        <f>Modelling_new[[#This Row],[Target E_Grid MTD
MWh]]/Modelling_new[[#This Row],[MTD DC Capcity]]/(24*CG608)</f>
        <v>0.19988227435336561</v>
      </c>
      <c r="AS608" s="323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627</v>
      </c>
      <c r="BI608" s="3" t="s">
        <v>627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323">
        <f>BM608/Modelling[[#This Row],[Comisined DC ]]/BP608</f>
        <v>0.7217013143290083</v>
      </c>
      <c r="BT608" s="337">
        <f>BN608/BQ608/Modelling[[#This Row],[Comisined DC ]]</f>
        <v>0.72170131432900841</v>
      </c>
      <c r="BU608" s="337">
        <f>BO608/BR608/Modelling[[#This Row],[Comisined DC ]]</f>
        <v>0.75500663680765567</v>
      </c>
      <c r="BV608" s="323">
        <f>BM608/(24*Modelling[[#This Row],[Comisined DC ]])</f>
        <v>0.19285462899569608</v>
      </c>
      <c r="BW608" s="323">
        <f>Modelling[[#This Row],[Target E_Grid MTD
MWh]]/Modelling[[#This Row],[MTD DC Capcity]]/(24*CG608)</f>
        <v>0.19285462899569608</v>
      </c>
      <c r="BX608" s="338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3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627</v>
      </c>
      <c r="F609" s="3" t="s">
        <v>627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323">
        <f t="shared" si="222"/>
        <v>0.69243740514963059</v>
      </c>
      <c r="Q609" s="337">
        <f t="shared" si="223"/>
        <v>0.6924374051496307</v>
      </c>
      <c r="R609" s="337">
        <f t="shared" si="224"/>
        <v>0.69323083791949525</v>
      </c>
      <c r="S609" s="323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338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627</v>
      </c>
      <c r="AD609" s="3" t="s">
        <v>627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323">
        <f t="shared" si="230"/>
        <v>0.83233237102108171</v>
      </c>
      <c r="AO609" s="323">
        <f t="shared" si="231"/>
        <v>0.83233237102108193</v>
      </c>
      <c r="AP609" s="323">
        <f t="shared" si="232"/>
        <v>0.9015385009200173</v>
      </c>
      <c r="AQ609" s="323">
        <f t="shared" si="233"/>
        <v>0.22241770581174464</v>
      </c>
      <c r="AR609" s="323">
        <f>Modelling_new[[#This Row],[Target E_Grid MTD
MWh]]/Modelling_new[[#This Row],[MTD DC Capcity]]/(24*CG609)</f>
        <v>0.19988227435336561</v>
      </c>
      <c r="AS609" s="323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627</v>
      </c>
      <c r="BI609" s="3" t="s">
        <v>627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323">
        <f>BM609/Modelling[[#This Row],[Comisined DC ]]/BP609</f>
        <v>0.7217013143290083</v>
      </c>
      <c r="BT609" s="337">
        <f>BN609/BQ609/Modelling[[#This Row],[Comisined DC ]]</f>
        <v>0.72170131432900841</v>
      </c>
      <c r="BU609" s="337">
        <f>BO609/BR609/Modelling[[#This Row],[Comisined DC ]]</f>
        <v>0.7548333826386262</v>
      </c>
      <c r="BV609" s="323">
        <f>BM609/(24*Modelling[[#This Row],[Comisined DC ]])</f>
        <v>0.19285462899569608</v>
      </c>
      <c r="BW609" s="323">
        <f>Modelling[[#This Row],[Target E_Grid MTD
MWh]]/Modelling[[#This Row],[MTD DC Capcity]]/(24*CG609)</f>
        <v>0.19285462899569608</v>
      </c>
      <c r="BX609" s="338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3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627</v>
      </c>
      <c r="F610" s="3" t="s">
        <v>627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323">
        <f t="shared" si="222"/>
        <v>0.69243740514963059</v>
      </c>
      <c r="Q610" s="337">
        <f t="shared" si="223"/>
        <v>0.69243740514963081</v>
      </c>
      <c r="R610" s="337">
        <f t="shared" si="224"/>
        <v>0.6932267318448353</v>
      </c>
      <c r="S610" s="323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338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627</v>
      </c>
      <c r="AD610" s="3" t="s">
        <v>627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323">
        <f t="shared" si="230"/>
        <v>0.83233237102108171</v>
      </c>
      <c r="AO610" s="323">
        <f t="shared" si="231"/>
        <v>0.83233237102108215</v>
      </c>
      <c r="AP610" s="323">
        <f t="shared" si="232"/>
        <v>0.90118035395775031</v>
      </c>
      <c r="AQ610" s="323">
        <f t="shared" si="233"/>
        <v>0.22241770581174464</v>
      </c>
      <c r="AR610" s="323">
        <f>Modelling_new[[#This Row],[Target E_Grid MTD
MWh]]/Modelling_new[[#This Row],[MTD DC Capcity]]/(24*CG610)</f>
        <v>0.19988227435336561</v>
      </c>
      <c r="AS610" s="323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627</v>
      </c>
      <c r="BI610" s="3" t="s">
        <v>627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323">
        <f>BM610/Modelling[[#This Row],[Comisined DC ]]/BP610</f>
        <v>0.7217013143290083</v>
      </c>
      <c r="BT610" s="337">
        <f>BN610/BQ610/Modelling[[#This Row],[Comisined DC ]]</f>
        <v>0.72170131432900864</v>
      </c>
      <c r="BU610" s="337">
        <f>BO610/BR610/Modelling[[#This Row],[Comisined DC ]]</f>
        <v>0.75466192167648238</v>
      </c>
      <c r="BV610" s="323">
        <f>BM610/(24*Modelling[[#This Row],[Comisined DC ]])</f>
        <v>0.19285462899569608</v>
      </c>
      <c r="BW610" s="323">
        <f>Modelling[[#This Row],[Target E_Grid MTD
MWh]]/Modelling[[#This Row],[MTD DC Capcity]]/(24*CG610)</f>
        <v>0.19285462899569614</v>
      </c>
      <c r="BX610" s="338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3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627</v>
      </c>
      <c r="F611" s="3" t="s">
        <v>627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323">
        <f t="shared" si="222"/>
        <v>0.69243740514963059</v>
      </c>
      <c r="Q611" s="337">
        <f t="shared" si="223"/>
        <v>0.69243740514963092</v>
      </c>
      <c r="R611" s="337">
        <f t="shared" si="224"/>
        <v>0.69322266804986932</v>
      </c>
      <c r="S611" s="323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338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627</v>
      </c>
      <c r="AD611" s="3" t="s">
        <v>627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323">
        <f t="shared" si="230"/>
        <v>0.83233237102108171</v>
      </c>
      <c r="AO611" s="323">
        <f t="shared" si="231"/>
        <v>0.83233237102108215</v>
      </c>
      <c r="AP611" s="323">
        <f t="shared" si="232"/>
        <v>0.90082589478618169</v>
      </c>
      <c r="AQ611" s="323">
        <f t="shared" si="233"/>
        <v>0.22241770581174464</v>
      </c>
      <c r="AR611" s="323">
        <f>Modelling_new[[#This Row],[Target E_Grid MTD
MWh]]/Modelling_new[[#This Row],[MTD DC Capcity]]/(24*CG611)</f>
        <v>0.19988227435336561</v>
      </c>
      <c r="AS611" s="323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627</v>
      </c>
      <c r="BI611" s="3" t="s">
        <v>627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323">
        <f>BM611/Modelling[[#This Row],[Comisined DC ]]/BP611</f>
        <v>0.7217013143290083</v>
      </c>
      <c r="BT611" s="337">
        <f>BN611/BQ611/Modelling[[#This Row],[Comisined DC ]]</f>
        <v>0.72170131432900853</v>
      </c>
      <c r="BU611" s="337">
        <f>BO611/BR611/Modelling[[#This Row],[Comisined DC ]]</f>
        <v>0.75449222622461243</v>
      </c>
      <c r="BV611" s="323">
        <f>BM611/(24*Modelling[[#This Row],[Comisined DC ]])</f>
        <v>0.19285462899569608</v>
      </c>
      <c r="BW611" s="323">
        <f>Modelling[[#This Row],[Target E_Grid MTD
MWh]]/Modelling[[#This Row],[MTD DC Capcity]]/(24*CG611)</f>
        <v>0.19285462899569614</v>
      </c>
      <c r="BX611" s="338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3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627</v>
      </c>
      <c r="F612" s="3" t="s">
        <v>627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323">
        <f t="shared" si="222"/>
        <v>0.69243740514963059</v>
      </c>
      <c r="Q612" s="337">
        <f t="shared" si="223"/>
        <v>0.69243740514963092</v>
      </c>
      <c r="R612" s="337">
        <f t="shared" si="224"/>
        <v>0.69321864588491955</v>
      </c>
      <c r="S612" s="323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338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627</v>
      </c>
      <c r="AD612" s="3" t="s">
        <v>627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323">
        <f t="shared" si="230"/>
        <v>0.83233237102108171</v>
      </c>
      <c r="AO612" s="323">
        <f t="shared" si="231"/>
        <v>0.83233237102108226</v>
      </c>
      <c r="AP612" s="323">
        <f t="shared" si="232"/>
        <v>0.90047506673803845</v>
      </c>
      <c r="AQ612" s="323">
        <f t="shared" si="233"/>
        <v>0.22241770581174464</v>
      </c>
      <c r="AR612" s="323">
        <f>Modelling_new[[#This Row],[Target E_Grid MTD
MWh]]/Modelling_new[[#This Row],[MTD DC Capcity]]/(24*CG612)</f>
        <v>0.19988227435336559</v>
      </c>
      <c r="AS612" s="323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627</v>
      </c>
      <c r="BI612" s="3" t="s">
        <v>627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323">
        <f>BM612/Modelling[[#This Row],[Comisined DC ]]/BP612</f>
        <v>0.7217013143290083</v>
      </c>
      <c r="BT612" s="337">
        <f>BN612/BQ612/Modelling[[#This Row],[Comisined DC ]]</f>
        <v>0.72170131432900864</v>
      </c>
      <c r="BU612" s="337">
        <f>BO612/BR612/Modelling[[#This Row],[Comisined DC ]]</f>
        <v>0.75432426915385886</v>
      </c>
      <c r="BV612" s="323">
        <f>BM612/(24*Modelling[[#This Row],[Comisined DC ]])</f>
        <v>0.19285462899569608</v>
      </c>
      <c r="BW612" s="323">
        <f>Modelling[[#This Row],[Target E_Grid MTD
MWh]]/Modelling[[#This Row],[MTD DC Capcity]]/(24*CG612)</f>
        <v>0.19285462899569619</v>
      </c>
      <c r="BX612" s="338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3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627</v>
      </c>
      <c r="F613" s="3" t="s">
        <v>627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323">
        <f t="shared" si="222"/>
        <v>0.69243740514963059</v>
      </c>
      <c r="Q613" s="337">
        <f t="shared" si="223"/>
        <v>0.69243740514963104</v>
      </c>
      <c r="R613" s="337">
        <f t="shared" si="224"/>
        <v>0.69321466471355153</v>
      </c>
      <c r="S613" s="323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338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627</v>
      </c>
      <c r="AD613" s="3" t="s">
        <v>627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323">
        <f t="shared" si="230"/>
        <v>0.83233237102108171</v>
      </c>
      <c r="AO613" s="323">
        <f t="shared" si="231"/>
        <v>0.83233237102108226</v>
      </c>
      <c r="AP613" s="323">
        <f t="shared" si="232"/>
        <v>0.90012781430114353</v>
      </c>
      <c r="AQ613" s="323">
        <f t="shared" si="233"/>
        <v>0.22241770581174464</v>
      </c>
      <c r="AR613" s="323">
        <f>Modelling_new[[#This Row],[Target E_Grid MTD
MWh]]/Modelling_new[[#This Row],[MTD DC Capcity]]/(24*CG613)</f>
        <v>0.19988227435336559</v>
      </c>
      <c r="AS613" s="323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627</v>
      </c>
      <c r="BI613" s="3" t="s">
        <v>627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323">
        <f>BM613/Modelling[[#This Row],[Comisined DC ]]/BP613</f>
        <v>0.7217013143290083</v>
      </c>
      <c r="BT613" s="337">
        <f>BN613/BQ613/Modelling[[#This Row],[Comisined DC ]]</f>
        <v>0.72170131432900864</v>
      </c>
      <c r="BU613" s="337">
        <f>BO613/BR613/Modelling[[#This Row],[Comisined DC ]]</f>
        <v>0.75415802388806119</v>
      </c>
      <c r="BV613" s="323">
        <f>BM613/(24*Modelling[[#This Row],[Comisined DC ]])</f>
        <v>0.19285462899569608</v>
      </c>
      <c r="BW613" s="323">
        <f>Modelling[[#This Row],[Target E_Grid MTD
MWh]]/Modelling[[#This Row],[MTD DC Capcity]]/(24*CG613)</f>
        <v>0.19285462899569616</v>
      </c>
      <c r="BX613" s="338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3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627</v>
      </c>
      <c r="F614" s="3" t="s">
        <v>627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323">
        <f t="shared" si="222"/>
        <v>0.69243740514963059</v>
      </c>
      <c r="Q614" s="337">
        <f t="shared" si="223"/>
        <v>0.69243740514963104</v>
      </c>
      <c r="R614" s="337">
        <f t="shared" si="224"/>
        <v>0.6932107239122377</v>
      </c>
      <c r="S614" s="323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338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627</v>
      </c>
      <c r="AD614" s="3" t="s">
        <v>627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323">
        <f t="shared" si="230"/>
        <v>0.83233237102108171</v>
      </c>
      <c r="AO614" s="323">
        <f t="shared" si="231"/>
        <v>0.83233237102108226</v>
      </c>
      <c r="AP614" s="323">
        <f t="shared" si="232"/>
        <v>0.89978408308913416</v>
      </c>
      <c r="AQ614" s="323">
        <f t="shared" si="233"/>
        <v>0.22241770581174464</v>
      </c>
      <c r="AR614" s="323">
        <f>Modelling_new[[#This Row],[Target E_Grid MTD
MWh]]/Modelling_new[[#This Row],[MTD DC Capcity]]/(24*CG614)</f>
        <v>0.19988227435336559</v>
      </c>
      <c r="AS614" s="323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627</v>
      </c>
      <c r="BI614" s="3" t="s">
        <v>627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323">
        <f>BM614/Modelling[[#This Row],[Comisined DC ]]/BP614</f>
        <v>0.7217013143290083</v>
      </c>
      <c r="BT614" s="337">
        <f>BN614/BQ614/Modelling[[#This Row],[Comisined DC ]]</f>
        <v>0.72170131432900886</v>
      </c>
      <c r="BU614" s="337">
        <f>BO614/BR614/Modelling[[#This Row],[Comisined DC ]]</f>
        <v>0.75399346439003578</v>
      </c>
      <c r="BV614" s="323">
        <f>BM614/(24*Modelling[[#This Row],[Comisined DC ]])</f>
        <v>0.19285462899569608</v>
      </c>
      <c r="BW614" s="323">
        <f>Modelling[[#This Row],[Target E_Grid MTD
MWh]]/Modelling[[#This Row],[MTD DC Capcity]]/(24*CG614)</f>
        <v>0.19285462899569622</v>
      </c>
      <c r="BX614" s="338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3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627</v>
      </c>
      <c r="F615" s="3" t="s">
        <v>627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323">
        <f t="shared" si="222"/>
        <v>0.69243740514963059</v>
      </c>
      <c r="Q615" s="337">
        <f t="shared" si="223"/>
        <v>0.69243740514963104</v>
      </c>
      <c r="R615" s="337">
        <f t="shared" si="224"/>
        <v>0.69320682287003221</v>
      </c>
      <c r="S615" s="323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338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627</v>
      </c>
      <c r="AD615" s="3" t="s">
        <v>627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323">
        <f t="shared" si="230"/>
        <v>0.83233237102108171</v>
      </c>
      <c r="AO615" s="323">
        <f t="shared" si="231"/>
        <v>0.83233237102108226</v>
      </c>
      <c r="AP615" s="323">
        <f t="shared" si="232"/>
        <v>0.89944381981306609</v>
      </c>
      <c r="AQ615" s="323">
        <f t="shared" si="233"/>
        <v>0.22241770581174464</v>
      </c>
      <c r="AR615" s="323">
        <f>Modelling_new[[#This Row],[Target E_Grid MTD
MWh]]/Modelling_new[[#This Row],[MTD DC Capcity]]/(24*CG615)</f>
        <v>0.19988227435336553</v>
      </c>
      <c r="AS615" s="323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627</v>
      </c>
      <c r="BI615" s="3" t="s">
        <v>627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323">
        <f>BM615/Modelling[[#This Row],[Comisined DC ]]/BP615</f>
        <v>0.7217013143290083</v>
      </c>
      <c r="BT615" s="337">
        <f>BN615/BQ615/Modelling[[#This Row],[Comisined DC ]]</f>
        <v>0.72170131432900886</v>
      </c>
      <c r="BU615" s="337">
        <f>BO615/BR615/Modelling[[#This Row],[Comisined DC ]]</f>
        <v>0.75383056514798297</v>
      </c>
      <c r="BV615" s="323">
        <f>BM615/(24*Modelling[[#This Row],[Comisined DC ]])</f>
        <v>0.19285462899569608</v>
      </c>
      <c r="BW615" s="323">
        <f>Modelling[[#This Row],[Target E_Grid MTD
MWh]]/Modelling[[#This Row],[MTD DC Capcity]]/(24*CG615)</f>
        <v>0.19285462899569622</v>
      </c>
      <c r="BX615" s="338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3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627</v>
      </c>
      <c r="F616" s="3" t="s">
        <v>627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323">
        <f t="shared" si="222"/>
        <v>0.69243740514963059</v>
      </c>
      <c r="Q616" s="337">
        <f t="shared" si="223"/>
        <v>0.69243740514963115</v>
      </c>
      <c r="R616" s="337">
        <f t="shared" si="224"/>
        <v>0.69320296098825518</v>
      </c>
      <c r="S616" s="323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338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627</v>
      </c>
      <c r="AD616" s="3" t="s">
        <v>627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323">
        <f t="shared" si="230"/>
        <v>0.83233237102108171</v>
      </c>
      <c r="AO616" s="323">
        <f t="shared" si="231"/>
        <v>0.83233237102108226</v>
      </c>
      <c r="AP616" s="323">
        <f t="shared" si="232"/>
        <v>0.89910697225387148</v>
      </c>
      <c r="AQ616" s="323">
        <f t="shared" si="233"/>
        <v>0.22241770581174464</v>
      </c>
      <c r="AR616" s="323">
        <f>Modelling_new[[#This Row],[Target E_Grid MTD
MWh]]/Modelling_new[[#This Row],[MTD DC Capcity]]/(24*CG616)</f>
        <v>0.19988227435336553</v>
      </c>
      <c r="AS616" s="323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627</v>
      </c>
      <c r="BI616" s="3" t="s">
        <v>627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323">
        <f>BM616/Modelling[[#This Row],[Comisined DC ]]/BP616</f>
        <v>0.7217013143290083</v>
      </c>
      <c r="BT616" s="337">
        <f>BN616/BQ616/Modelling[[#This Row],[Comisined DC ]]</f>
        <v>0.72170131432900864</v>
      </c>
      <c r="BU616" s="337">
        <f>BO616/BR616/Modelling[[#This Row],[Comisined DC ]]</f>
        <v>0.75366930116230058</v>
      </c>
      <c r="BV616" s="323">
        <f>BM616/(24*Modelling[[#This Row],[Comisined DC ]])</f>
        <v>0.19285462899569608</v>
      </c>
      <c r="BW616" s="323">
        <f>Modelling[[#This Row],[Target E_Grid MTD
MWh]]/Modelling[[#This Row],[MTD DC Capcity]]/(24*CG616)</f>
        <v>0.19285462899569619</v>
      </c>
      <c r="BX616" s="338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3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627</v>
      </c>
      <c r="F617" s="3" t="s">
        <v>627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323">
        <f t="shared" si="222"/>
        <v>0.69243740514963059</v>
      </c>
      <c r="Q617" s="337">
        <f t="shared" si="223"/>
        <v>0.69243740514963115</v>
      </c>
      <c r="R617" s="337">
        <f t="shared" si="224"/>
        <v>0.69319913768018637</v>
      </c>
      <c r="S617" s="323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338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627</v>
      </c>
      <c r="AD617" s="3" t="s">
        <v>627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323">
        <f t="shared" si="230"/>
        <v>0.83233237102108171</v>
      </c>
      <c r="AO617" s="323">
        <f t="shared" si="231"/>
        <v>0.83233237102108215</v>
      </c>
      <c r="AP617" s="323">
        <f t="shared" si="232"/>
        <v>0.8987734892356446</v>
      </c>
      <c r="AQ617" s="323">
        <f t="shared" si="233"/>
        <v>0.22241770581174464</v>
      </c>
      <c r="AR617" s="323">
        <f>Modelling_new[[#This Row],[Target E_Grid MTD
MWh]]/Modelling_new[[#This Row],[MTD DC Capcity]]/(24*CG617)</f>
        <v>0.19988227435336553</v>
      </c>
      <c r="AS617" s="323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627</v>
      </c>
      <c r="BI617" s="3" t="s">
        <v>627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323">
        <f>BM617/Modelling[[#This Row],[Comisined DC ]]/BP617</f>
        <v>0.7217013143290083</v>
      </c>
      <c r="BT617" s="337">
        <f>BN617/BQ617/Modelling[[#This Row],[Comisined DC ]]</f>
        <v>0.72170131432900886</v>
      </c>
      <c r="BU617" s="337">
        <f>BO617/BR617/Modelling[[#This Row],[Comisined DC ]]</f>
        <v>0.7535096479327944</v>
      </c>
      <c r="BV617" s="323">
        <f>BM617/(24*Modelling[[#This Row],[Comisined DC ]])</f>
        <v>0.19285462899569608</v>
      </c>
      <c r="BW617" s="323">
        <f>Modelling[[#This Row],[Target E_Grid MTD
MWh]]/Modelling[[#This Row],[MTD DC Capcity]]/(24*CG617)</f>
        <v>0.19285462899569622</v>
      </c>
      <c r="BX617" s="338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3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627</v>
      </c>
      <c r="F618" s="3" t="s">
        <v>627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323">
        <f t="shared" si="222"/>
        <v>0.69243740514963059</v>
      </c>
      <c r="Q618" s="337">
        <f t="shared" si="223"/>
        <v>0.69243740514963115</v>
      </c>
      <c r="R618" s="337">
        <f t="shared" si="224"/>
        <v>0.69319535237076779</v>
      </c>
      <c r="S618" s="323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338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627</v>
      </c>
      <c r="AD618" s="3" t="s">
        <v>627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323">
        <f t="shared" si="230"/>
        <v>0.83233237102108171</v>
      </c>
      <c r="AO618" s="323">
        <f t="shared" si="231"/>
        <v>0.83233237102108215</v>
      </c>
      <c r="AP618" s="323">
        <f t="shared" si="232"/>
        <v>0.89844332059972176</v>
      </c>
      <c r="AQ618" s="323">
        <f t="shared" si="233"/>
        <v>0.22241770581174464</v>
      </c>
      <c r="AR618" s="323">
        <f>Modelling_new[[#This Row],[Target E_Grid MTD
MWh]]/Modelling_new[[#This Row],[MTD DC Capcity]]/(24*CG618)</f>
        <v>0.19988227435336553</v>
      </c>
      <c r="AS618" s="323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627</v>
      </c>
      <c r="BI618" s="3" t="s">
        <v>627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323">
        <f>BM618/Modelling[[#This Row],[Comisined DC ]]/BP618</f>
        <v>0.7217013143290083</v>
      </c>
      <c r="BT618" s="337">
        <f>BN618/BQ618/Modelling[[#This Row],[Comisined DC ]]</f>
        <v>0.72170131432900886</v>
      </c>
      <c r="BU618" s="337">
        <f>BO618/BR618/Modelling[[#This Row],[Comisined DC ]]</f>
        <v>0.75335158144626979</v>
      </c>
      <c r="BV618" s="323">
        <f>BM618/(24*Modelling[[#This Row],[Comisined DC ]])</f>
        <v>0.19285462899569608</v>
      </c>
      <c r="BW618" s="323">
        <f>Modelling[[#This Row],[Target E_Grid MTD
MWh]]/Modelling[[#This Row],[MTD DC Capcity]]/(24*CG618)</f>
        <v>0.19285462899569622</v>
      </c>
      <c r="BX618" s="338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3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627</v>
      </c>
      <c r="F619" s="3" t="s">
        <v>627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323">
        <f t="shared" si="222"/>
        <v>0.69243740514963059</v>
      </c>
      <c r="Q619" s="337">
        <f t="shared" si="223"/>
        <v>0.69243740514963104</v>
      </c>
      <c r="R619" s="337">
        <f t="shared" si="224"/>
        <v>0.69319160449631601</v>
      </c>
      <c r="S619" s="323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338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627</v>
      </c>
      <c r="AD619" s="3" t="s">
        <v>627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323">
        <f t="shared" si="230"/>
        <v>0.83233237102108171</v>
      </c>
      <c r="AO619" s="323">
        <f t="shared" si="231"/>
        <v>0.83233237102108215</v>
      </c>
      <c r="AP619" s="323">
        <f t="shared" si="232"/>
        <v>0.89811641717953117</v>
      </c>
      <c r="AQ619" s="323">
        <f t="shared" si="233"/>
        <v>0.22241770581174464</v>
      </c>
      <c r="AR619" s="323">
        <f>Modelling_new[[#This Row],[Target E_Grid MTD
MWh]]/Modelling_new[[#This Row],[MTD DC Capcity]]/(24*CG619)</f>
        <v>0.1998822743533655</v>
      </c>
      <c r="AS619" s="323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627</v>
      </c>
      <c r="BI619" s="3" t="s">
        <v>627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323">
        <f>BM619/Modelling[[#This Row],[Comisined DC ]]/BP619</f>
        <v>0.7217013143290083</v>
      </c>
      <c r="BT619" s="337">
        <f>BN619/BQ619/Modelling[[#This Row],[Comisined DC ]]</f>
        <v>0.72170131432900864</v>
      </c>
      <c r="BU619" s="337">
        <f>BO619/BR619/Modelling[[#This Row],[Comisined DC ]]</f>
        <v>0.75319507816449072</v>
      </c>
      <c r="BV619" s="323">
        <f>BM619/(24*Modelling[[#This Row],[Comisined DC ]])</f>
        <v>0.19285462899569608</v>
      </c>
      <c r="BW619" s="323">
        <f>Modelling[[#This Row],[Target E_Grid MTD
MWh]]/Modelling[[#This Row],[MTD DC Capcity]]/(24*CG619)</f>
        <v>0.19285462899569622</v>
      </c>
      <c r="BX619" s="338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3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627</v>
      </c>
      <c r="F620" s="3" t="s">
        <v>627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323">
        <f t="shared" si="222"/>
        <v>0.69243740514963059</v>
      </c>
      <c r="Q620" s="337">
        <f t="shared" si="223"/>
        <v>0.69243740514963104</v>
      </c>
      <c r="R620" s="337">
        <f t="shared" si="224"/>
        <v>0.69318789350424137</v>
      </c>
      <c r="S620" s="323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338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627</v>
      </c>
      <c r="AD620" s="3" t="s">
        <v>627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323">
        <f t="shared" si="230"/>
        <v>0.83233237102108171</v>
      </c>
      <c r="AO620" s="323">
        <f t="shared" si="231"/>
        <v>0.83233237102108215</v>
      </c>
      <c r="AP620" s="323">
        <f t="shared" si="232"/>
        <v>0.89779273077618582</v>
      </c>
      <c r="AQ620" s="323">
        <f t="shared" si="233"/>
        <v>0.22241770581174464</v>
      </c>
      <c r="AR620" s="323">
        <f>Modelling_new[[#This Row],[Target E_Grid MTD
MWh]]/Modelling_new[[#This Row],[MTD DC Capcity]]/(24*CG620)</f>
        <v>0.19988227435336547</v>
      </c>
      <c r="AS620" s="323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627</v>
      </c>
      <c r="BI620" s="3" t="s">
        <v>627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323">
        <f>BM620/Modelling[[#This Row],[Comisined DC ]]/BP620</f>
        <v>0.7217013143290083</v>
      </c>
      <c r="BT620" s="337">
        <f>BN620/BQ620/Modelling[[#This Row],[Comisined DC ]]</f>
        <v>0.72170131432900864</v>
      </c>
      <c r="BU620" s="337">
        <f>BO620/BR620/Modelling[[#This Row],[Comisined DC ]]</f>
        <v>0.75304011501249557</v>
      </c>
      <c r="BV620" s="323">
        <f>BM620/(24*Modelling[[#This Row],[Comisined DC ]])</f>
        <v>0.19285462899569608</v>
      </c>
      <c r="BW620" s="323">
        <f>Modelling[[#This Row],[Target E_Grid MTD
MWh]]/Modelling[[#This Row],[MTD DC Capcity]]/(24*CG620)</f>
        <v>0.19285462899569619</v>
      </c>
      <c r="BX620" s="338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3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627</v>
      </c>
      <c r="F621" s="3" t="s">
        <v>627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323">
        <f t="shared" si="222"/>
        <v>0.69243740514963059</v>
      </c>
      <c r="Q621" s="337">
        <f t="shared" si="223"/>
        <v>0.69243740514963104</v>
      </c>
      <c r="R621" s="337">
        <f t="shared" si="224"/>
        <v>0.69318421885277715</v>
      </c>
      <c r="S621" s="323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338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627</v>
      </c>
      <c r="AD621" s="3" t="s">
        <v>627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323">
        <f t="shared" si="230"/>
        <v>0.83233237102108171</v>
      </c>
      <c r="AO621" s="323">
        <f t="shared" si="231"/>
        <v>0.83233237102108215</v>
      </c>
      <c r="AP621" s="323">
        <f t="shared" si="232"/>
        <v>0.89747221413479272</v>
      </c>
      <c r="AQ621" s="323">
        <f t="shared" si="233"/>
        <v>0.22241770581174464</v>
      </c>
      <c r="AR621" s="323">
        <f>Modelling_new[[#This Row],[Target E_Grid MTD
MWh]]/Modelling_new[[#This Row],[MTD DC Capcity]]/(24*CG621)</f>
        <v>0.19988227435336547</v>
      </c>
      <c r="AS621" s="323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627</v>
      </c>
      <c r="BI621" s="3" t="s">
        <v>627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323">
        <f>BM621/Modelling[[#This Row],[Comisined DC ]]/BP621</f>
        <v>0.7217013143290083</v>
      </c>
      <c r="BT621" s="337">
        <f>BN621/BQ621/Modelling[[#This Row],[Comisined DC ]]</f>
        <v>0.72170131432900864</v>
      </c>
      <c r="BU621" s="337">
        <f>BO621/BR621/Modelling[[#This Row],[Comisined DC ]]</f>
        <v>0.75288666936725424</v>
      </c>
      <c r="BV621" s="323">
        <f>BM621/(24*Modelling[[#This Row],[Comisined DC ]])</f>
        <v>0.19285462899569608</v>
      </c>
      <c r="BW621" s="323">
        <f>Modelling[[#This Row],[Target E_Grid MTD
MWh]]/Modelling[[#This Row],[MTD DC Capcity]]/(24*CG621)</f>
        <v>0.19285462899569619</v>
      </c>
      <c r="BX621" s="338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3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627</v>
      </c>
      <c r="F622" s="3" t="s">
        <v>627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323">
        <f t="shared" si="222"/>
        <v>0.69243740514963059</v>
      </c>
      <c r="Q622" s="337">
        <f t="shared" si="223"/>
        <v>0.69243740514963104</v>
      </c>
      <c r="R622" s="337">
        <f t="shared" si="224"/>
        <v>0.69318058001071547</v>
      </c>
      <c r="S622" s="323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338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627</v>
      </c>
      <c r="AD622" s="3" t="s">
        <v>627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323">
        <f t="shared" si="230"/>
        <v>0.83233237102108171</v>
      </c>
      <c r="AO622" s="323">
        <f t="shared" si="231"/>
        <v>0.83233237102108193</v>
      </c>
      <c r="AP622" s="323">
        <f t="shared" si="232"/>
        <v>0.89715482092145471</v>
      </c>
      <c r="AQ622" s="323">
        <f t="shared" si="233"/>
        <v>0.22241770581174464</v>
      </c>
      <c r="AR622" s="323">
        <f>Modelling_new[[#This Row],[Target E_Grid MTD
MWh]]/Modelling_new[[#This Row],[MTD DC Capcity]]/(24*CG622)</f>
        <v>0.19988227435336547</v>
      </c>
      <c r="AS622" s="323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627</v>
      </c>
      <c r="BI622" s="3" t="s">
        <v>627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323">
        <f>BM622/Modelling[[#This Row],[Comisined DC ]]/BP622</f>
        <v>0.7217013143290083</v>
      </c>
      <c r="BT622" s="337">
        <f>BN622/BQ622/Modelling[[#This Row],[Comisined DC ]]</f>
        <v>0.72170131432900864</v>
      </c>
      <c r="BU622" s="337">
        <f>BO622/BR622/Modelling[[#This Row],[Comisined DC ]]</f>
        <v>0.75273471904665856</v>
      </c>
      <c r="BV622" s="323">
        <f>BM622/(24*Modelling[[#This Row],[Comisined DC ]])</f>
        <v>0.19285462899569608</v>
      </c>
      <c r="BW622" s="323">
        <f>Modelling[[#This Row],[Target E_Grid MTD
MWh]]/Modelling[[#This Row],[MTD DC Capcity]]/(24*CG622)</f>
        <v>0.19285462899569619</v>
      </c>
      <c r="BX622" s="338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3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627</v>
      </c>
      <c r="F623" s="3" t="s">
        <v>627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323">
        <f t="shared" si="222"/>
        <v>0.69243740514963059</v>
      </c>
      <c r="Q623" s="337">
        <f t="shared" si="223"/>
        <v>0.69243740514963092</v>
      </c>
      <c r="R623" s="337">
        <f t="shared" si="224"/>
        <v>0.69317697645715193</v>
      </c>
      <c r="S623" s="323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338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627</v>
      </c>
      <c r="AD623" s="3" t="s">
        <v>627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323">
        <f t="shared" si="230"/>
        <v>0.83233237102108171</v>
      </c>
      <c r="AO623" s="323">
        <f t="shared" si="231"/>
        <v>0.83233237102108193</v>
      </c>
      <c r="AP623" s="323">
        <f t="shared" si="232"/>
        <v>0.89684050570094143</v>
      </c>
      <c r="AQ623" s="323">
        <f t="shared" si="233"/>
        <v>0.22241770581174464</v>
      </c>
      <c r="AR623" s="323">
        <f>Modelling_new[[#This Row],[Target E_Grid MTD
MWh]]/Modelling_new[[#This Row],[MTD DC Capcity]]/(24*CG623)</f>
        <v>0.19988227435336545</v>
      </c>
      <c r="AS623" s="323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627</v>
      </c>
      <c r="BI623" s="3" t="s">
        <v>627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323">
        <f>BM623/Modelling[[#This Row],[Comisined DC ]]/BP623</f>
        <v>0.7217013143290083</v>
      </c>
      <c r="BT623" s="337">
        <f>BN623/BQ623/Modelling[[#This Row],[Comisined DC ]]</f>
        <v>0.72170131432900864</v>
      </c>
      <c r="BU623" s="337">
        <f>BO623/BR623/Modelling[[#This Row],[Comisined DC ]]</f>
        <v>0.7525842422988327</v>
      </c>
      <c r="BV623" s="323">
        <f>BM623/(24*Modelling[[#This Row],[Comisined DC ]])</f>
        <v>0.19285462899569608</v>
      </c>
      <c r="BW623" s="323">
        <f>Modelling[[#This Row],[Target E_Grid MTD
MWh]]/Modelling[[#This Row],[MTD DC Capcity]]/(24*CG623)</f>
        <v>0.19285462899569616</v>
      </c>
      <c r="BX623" s="338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3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627</v>
      </c>
      <c r="F624" s="3" t="s">
        <v>627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323">
        <f t="shared" si="222"/>
        <v>0.69243740514963059</v>
      </c>
      <c r="Q624" s="337">
        <f t="shared" si="223"/>
        <v>0.69243740514963092</v>
      </c>
      <c r="R624" s="337">
        <f t="shared" si="224"/>
        <v>0.69317340768123592</v>
      </c>
      <c r="S624" s="323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338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627</v>
      </c>
      <c r="AD624" s="3" t="s">
        <v>627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323">
        <f t="shared" si="230"/>
        <v>0.83233237102108171</v>
      </c>
      <c r="AO624" s="323">
        <f t="shared" si="231"/>
        <v>0.83233237102108193</v>
      </c>
      <c r="AP624" s="323">
        <f t="shared" si="232"/>
        <v>0.89652922391500733</v>
      </c>
      <c r="AQ624" s="323">
        <f t="shared" si="233"/>
        <v>0.22241770581174464</v>
      </c>
      <c r="AR624" s="323">
        <f>Modelling_new[[#This Row],[Target E_Grid MTD
MWh]]/Modelling_new[[#This Row],[MTD DC Capcity]]/(24*CG624)</f>
        <v>0.19988227435336545</v>
      </c>
      <c r="AS624" s="323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627</v>
      </c>
      <c r="BI624" s="3" t="s">
        <v>627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323">
        <f>BM624/Modelling[[#This Row],[Comisined DC ]]/BP624</f>
        <v>0.7217013143290083</v>
      </c>
      <c r="BT624" s="337">
        <f>BN624/BQ624/Modelling[[#This Row],[Comisined DC ]]</f>
        <v>0.72170131432900853</v>
      </c>
      <c r="BU624" s="337">
        <f>BO624/BR624/Modelling[[#This Row],[Comisined DC ]]</f>
        <v>0.75243521779175271</v>
      </c>
      <c r="BV624" s="323">
        <f>BM624/(24*Modelling[[#This Row],[Comisined DC ]])</f>
        <v>0.19285462899569608</v>
      </c>
      <c r="BW624" s="323">
        <f>Modelling[[#This Row],[Target E_Grid MTD
MWh]]/Modelling[[#This Row],[MTD DC Capcity]]/(24*CG624)</f>
        <v>0.19285462899569616</v>
      </c>
      <c r="BX624" s="338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3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627</v>
      </c>
      <c r="F625" s="3" t="s">
        <v>627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323">
        <f t="shared" si="222"/>
        <v>0.69243740514963059</v>
      </c>
      <c r="Q625" s="337">
        <f t="shared" si="223"/>
        <v>0.69243740514963092</v>
      </c>
      <c r="R625" s="337">
        <f t="shared" si="224"/>
        <v>0.69316987318193024</v>
      </c>
      <c r="S625" s="323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338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627</v>
      </c>
      <c r="AD625" s="3" t="s">
        <v>627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323">
        <f t="shared" si="230"/>
        <v>0.83233237102108171</v>
      </c>
      <c r="AO625" s="323">
        <f t="shared" si="231"/>
        <v>0.83233237102108193</v>
      </c>
      <c r="AP625" s="323">
        <f t="shared" si="232"/>
        <v>0.89622093186133356</v>
      </c>
      <c r="AQ625" s="323">
        <f t="shared" si="233"/>
        <v>0.22241770581174464</v>
      </c>
      <c r="AR625" s="323">
        <f>Modelling_new[[#This Row],[Target E_Grid MTD
MWh]]/Modelling_new[[#This Row],[MTD DC Capcity]]/(24*CG625)</f>
        <v>0.19988227435336542</v>
      </c>
      <c r="AS625" s="323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627</v>
      </c>
      <c r="BI625" s="3" t="s">
        <v>627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323">
        <f>BM625/Modelling[[#This Row],[Comisined DC ]]/BP625</f>
        <v>0.7217013143290083</v>
      </c>
      <c r="BT625" s="337">
        <f>BN625/BQ625/Modelling[[#This Row],[Comisined DC ]]</f>
        <v>0.72170131432900853</v>
      </c>
      <c r="BU625" s="337">
        <f>BO625/BR625/Modelling[[#This Row],[Comisined DC ]]</f>
        <v>0.75228762460316456</v>
      </c>
      <c r="BV625" s="323">
        <f>BM625/(24*Modelling[[#This Row],[Comisined DC ]])</f>
        <v>0.19285462899569608</v>
      </c>
      <c r="BW625" s="323">
        <f>Modelling[[#This Row],[Target E_Grid MTD
MWh]]/Modelling[[#This Row],[MTD DC Capcity]]/(24*CG625)</f>
        <v>0.19285462899569619</v>
      </c>
      <c r="BX625" s="338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3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627</v>
      </c>
      <c r="F626" s="3" t="s">
        <v>627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323">
        <f t="shared" si="222"/>
        <v>0.69243740514963059</v>
      </c>
      <c r="Q626" s="337">
        <f t="shared" si="223"/>
        <v>0.69243740514963081</v>
      </c>
      <c r="R626" s="337">
        <f t="shared" si="224"/>
        <v>0.69316637246777624</v>
      </c>
      <c r="S626" s="323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338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627</v>
      </c>
      <c r="AD626" s="3" t="s">
        <v>627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323">
        <f t="shared" si="230"/>
        <v>0.83233237102108171</v>
      </c>
      <c r="AO626" s="323">
        <f t="shared" si="231"/>
        <v>0.83233237102108193</v>
      </c>
      <c r="AP626" s="323">
        <f t="shared" si="232"/>
        <v>0.89591558667307469</v>
      </c>
      <c r="AQ626" s="323">
        <f t="shared" si="233"/>
        <v>0.22241770581174464</v>
      </c>
      <c r="AR626" s="323">
        <f>Modelling_new[[#This Row],[Target E_Grid MTD
MWh]]/Modelling_new[[#This Row],[MTD DC Capcity]]/(24*CG626)</f>
        <v>0.19988227435336542</v>
      </c>
      <c r="AS626" s="323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627</v>
      </c>
      <c r="BI626" s="3" t="s">
        <v>627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323">
        <f>BM626/Modelling[[#This Row],[Comisined DC ]]/BP626</f>
        <v>0.7217013143290083</v>
      </c>
      <c r="BT626" s="337">
        <f>BN626/BQ626/Modelling[[#This Row],[Comisined DC ]]</f>
        <v>0.72170131432900853</v>
      </c>
      <c r="BU626" s="337">
        <f>BO626/BR626/Modelling[[#This Row],[Comisined DC ]]</f>
        <v>0.75214144221079293</v>
      </c>
      <c r="BV626" s="323">
        <f>BM626/(24*Modelling[[#This Row],[Comisined DC ]])</f>
        <v>0.19285462899569608</v>
      </c>
      <c r="BW626" s="323">
        <f>Modelling[[#This Row],[Target E_Grid MTD
MWh]]/Modelling[[#This Row],[MTD DC Capcity]]/(24*CG626)</f>
        <v>0.19285462899569616</v>
      </c>
      <c r="BX626" s="338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3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627</v>
      </c>
      <c r="F627" s="3" t="s">
        <v>627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323">
        <f t="shared" si="222"/>
        <v>0.69243740514963059</v>
      </c>
      <c r="Q627" s="337">
        <f t="shared" si="223"/>
        <v>0.69243740514963081</v>
      </c>
      <c r="R627" s="337">
        <f t="shared" si="224"/>
        <v>0.69316290505666556</v>
      </c>
      <c r="S627" s="323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338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627</v>
      </c>
      <c r="AD627" s="3" t="s">
        <v>627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323">
        <f t="shared" si="230"/>
        <v>0.83233237102108171</v>
      </c>
      <c r="AO627" s="323">
        <f t="shared" si="231"/>
        <v>0.83233237102108193</v>
      </c>
      <c r="AP627" s="323">
        <f t="shared" si="232"/>
        <v>0.89561314629898781</v>
      </c>
      <c r="AQ627" s="323">
        <f t="shared" si="233"/>
        <v>0.22241770581174464</v>
      </c>
      <c r="AR627" s="323">
        <f>Modelling_new[[#This Row],[Target E_Grid MTD
MWh]]/Modelling_new[[#This Row],[MTD DC Capcity]]/(24*CG627)</f>
        <v>0.19988227435336539</v>
      </c>
      <c r="AS627" s="323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627</v>
      </c>
      <c r="BI627" s="3" t="s">
        <v>627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323">
        <f>BM627/Modelling[[#This Row],[Comisined DC ]]/BP627</f>
        <v>0.7217013143290083</v>
      </c>
      <c r="BT627" s="337">
        <f>BN627/BQ627/Modelling[[#This Row],[Comisined DC ]]</f>
        <v>0.72170131432900853</v>
      </c>
      <c r="BU627" s="337">
        <f>BO627/BR627/Modelling[[#This Row],[Comisined DC ]]</f>
        <v>0.75199665048282782</v>
      </c>
      <c r="BV627" s="323">
        <f>BM627/(24*Modelling[[#This Row],[Comisined DC ]])</f>
        <v>0.19285462899569608</v>
      </c>
      <c r="BW627" s="323">
        <f>Modelling[[#This Row],[Target E_Grid MTD
MWh]]/Modelling[[#This Row],[MTD DC Capcity]]/(24*CG627)</f>
        <v>0.19285462899569616</v>
      </c>
      <c r="BX627" s="338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3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627</v>
      </c>
      <c r="F628" s="3" t="s">
        <v>627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323">
        <f t="shared" si="222"/>
        <v>0.7002678729073224</v>
      </c>
      <c r="Q628" s="337">
        <f t="shared" si="223"/>
        <v>0.7002678729073224</v>
      </c>
      <c r="R628" s="337">
        <f t="shared" si="224"/>
        <v>0.69319689194279877</v>
      </c>
      <c r="S628" s="323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338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627</v>
      </c>
      <c r="AD628" s="3" t="s">
        <v>627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323">
        <f t="shared" si="230"/>
        <v>0.80627505984076986</v>
      </c>
      <c r="AO628" s="323">
        <f t="shared" si="231"/>
        <v>0.80627505984076986</v>
      </c>
      <c r="AP628" s="323">
        <f t="shared" si="232"/>
        <v>0.89518579413700328</v>
      </c>
      <c r="AQ628" s="323">
        <f t="shared" si="233"/>
        <v>0.21771594021775628</v>
      </c>
      <c r="AR628" s="323">
        <f>Modelling_new[[#This Row],[Target E_Grid MTD
MWh]]/Modelling_new[[#This Row],[MTD DC Capcity]]/(24*CG628)</f>
        <v>0.19565689311866186</v>
      </c>
      <c r="AS628" s="323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627</v>
      </c>
      <c r="BI628" s="3" t="s">
        <v>627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323">
        <f>BM628/Modelling[[#This Row],[Comisined DC ]]/BP628</f>
        <v>0.71307421726835596</v>
      </c>
      <c r="BT628" s="337">
        <f>BN628/BQ628/Modelling[[#This Row],[Comisined DC ]]</f>
        <v>0.71307421726835585</v>
      </c>
      <c r="BU628" s="337">
        <f>BO628/BR628/Modelling[[#This Row],[Comisined DC ]]</f>
        <v>0.75181046353117786</v>
      </c>
      <c r="BV628" s="323">
        <f>BM628/(24*Modelling[[#This Row],[Comisined DC ]])</f>
        <v>0.1925492073242106</v>
      </c>
      <c r="BW628" s="323">
        <f>Modelling[[#This Row],[Target E_Grid MTD
MWh]]/Modelling[[#This Row],[MTD DC Capcity]]/(24*CG628)</f>
        <v>0.19254920732421063</v>
      </c>
      <c r="BX628" s="338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3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627</v>
      </c>
      <c r="F629" s="3" t="s">
        <v>627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323">
        <f t="shared" si="222"/>
        <v>0.7002678729073224</v>
      </c>
      <c r="Q629" s="337">
        <f t="shared" si="223"/>
        <v>0.7002678729073224</v>
      </c>
      <c r="R629" s="337">
        <f t="shared" si="224"/>
        <v>0.69323055522177324</v>
      </c>
      <c r="S629" s="323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338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627</v>
      </c>
      <c r="AD629" s="3" t="s">
        <v>627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323">
        <f t="shared" si="230"/>
        <v>0.80627505984076986</v>
      </c>
      <c r="AO629" s="323">
        <f t="shared" si="231"/>
        <v>0.80627505984076986</v>
      </c>
      <c r="AP629" s="323">
        <f t="shared" si="232"/>
        <v>0.89476251102148385</v>
      </c>
      <c r="AQ629" s="323">
        <f t="shared" si="233"/>
        <v>0.21771594021775628</v>
      </c>
      <c r="AR629" s="323">
        <f>Modelling_new[[#This Row],[Target E_Grid MTD
MWh]]/Modelling_new[[#This Row],[MTD DC Capcity]]/(24*CG629)</f>
        <v>0.19565689311866186</v>
      </c>
      <c r="AS629" s="323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627</v>
      </c>
      <c r="BI629" s="3" t="s">
        <v>627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323">
        <f>BM629/Modelling[[#This Row],[Comisined DC ]]/BP629</f>
        <v>0.71307421726835596</v>
      </c>
      <c r="BT629" s="337">
        <f>BN629/BQ629/Modelling[[#This Row],[Comisined DC ]]</f>
        <v>0.71307421726835585</v>
      </c>
      <c r="BU629" s="337">
        <f>BO629/BR629/Modelling[[#This Row],[Comisined DC ]]</f>
        <v>0.75162604936418853</v>
      </c>
      <c r="BV629" s="323">
        <f>BM629/(24*Modelling[[#This Row],[Comisined DC ]])</f>
        <v>0.1925492073242106</v>
      </c>
      <c r="BW629" s="323">
        <f>Modelling[[#This Row],[Target E_Grid MTD
MWh]]/Modelling[[#This Row],[MTD DC Capcity]]/(24*CG629)</f>
        <v>0.19254920732421063</v>
      </c>
      <c r="BX629" s="338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3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627</v>
      </c>
      <c r="F630" s="3" t="s">
        <v>627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323">
        <f t="shared" si="222"/>
        <v>0.7002678729073224</v>
      </c>
      <c r="Q630" s="337">
        <f t="shared" si="223"/>
        <v>0.7002678729073224</v>
      </c>
      <c r="R630" s="337">
        <f t="shared" si="224"/>
        <v>0.69326389949354283</v>
      </c>
      <c r="S630" s="323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338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627</v>
      </c>
      <c r="AD630" s="3" t="s">
        <v>627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323">
        <f t="shared" si="230"/>
        <v>0.80627505984076986</v>
      </c>
      <c r="AO630" s="323">
        <f t="shared" si="231"/>
        <v>0.80627505984076986</v>
      </c>
      <c r="AP630" s="323">
        <f t="shared" si="232"/>
        <v>0.8943432391124696</v>
      </c>
      <c r="AQ630" s="323">
        <f t="shared" si="233"/>
        <v>0.21771594021775628</v>
      </c>
      <c r="AR630" s="323">
        <f>Modelling_new[[#This Row],[Target E_Grid MTD
MWh]]/Modelling_new[[#This Row],[MTD DC Capcity]]/(24*CG630)</f>
        <v>0.19565689311866186</v>
      </c>
      <c r="AS630" s="323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627</v>
      </c>
      <c r="BI630" s="3" t="s">
        <v>627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323">
        <f>BM630/Modelling[[#This Row],[Comisined DC ]]/BP630</f>
        <v>0.71307421726835596</v>
      </c>
      <c r="BT630" s="337">
        <f>BN630/BQ630/Modelling[[#This Row],[Comisined DC ]]</f>
        <v>0.71307421726835574</v>
      </c>
      <c r="BU630" s="337">
        <f>BO630/BR630/Modelling[[#This Row],[Comisined DC ]]</f>
        <v>0.75144338278239498</v>
      </c>
      <c r="BV630" s="323">
        <f>BM630/(24*Modelling[[#This Row],[Comisined DC ]])</f>
        <v>0.1925492073242106</v>
      </c>
      <c r="BW630" s="323">
        <f>Modelling[[#This Row],[Target E_Grid MTD
MWh]]/Modelling[[#This Row],[MTD DC Capcity]]/(24*CG630)</f>
        <v>0.19254920732421058</v>
      </c>
      <c r="BX630" s="338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3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627</v>
      </c>
      <c r="F631" s="3" t="s">
        <v>627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323">
        <f t="shared" si="222"/>
        <v>0.7002678729073224</v>
      </c>
      <c r="Q631" s="337">
        <f t="shared" si="223"/>
        <v>0.7002678729073224</v>
      </c>
      <c r="R631" s="337">
        <f t="shared" si="224"/>
        <v>0.69329692927128994</v>
      </c>
      <c r="S631" s="323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338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627</v>
      </c>
      <c r="AD631" s="3" t="s">
        <v>627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323">
        <f t="shared" si="230"/>
        <v>0.80627505984076986</v>
      </c>
      <c r="AO631" s="323">
        <f t="shared" si="231"/>
        <v>0.80627505984076986</v>
      </c>
      <c r="AP631" s="323">
        <f t="shared" si="232"/>
        <v>0.89392792166106172</v>
      </c>
      <c r="AQ631" s="323">
        <f t="shared" si="233"/>
        <v>0.21771594021775628</v>
      </c>
      <c r="AR631" s="323">
        <f>Modelling_new[[#This Row],[Target E_Grid MTD
MWh]]/Modelling_new[[#This Row],[MTD DC Capcity]]/(24*CG631)</f>
        <v>0.19565689311866186</v>
      </c>
      <c r="AS631" s="323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627</v>
      </c>
      <c r="BI631" s="3" t="s">
        <v>627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323">
        <f>BM631/Modelling[[#This Row],[Comisined DC ]]/BP631</f>
        <v>0.71307421726835596</v>
      </c>
      <c r="BT631" s="337">
        <f>BN631/BQ631/Modelling[[#This Row],[Comisined DC ]]</f>
        <v>0.71307421726835585</v>
      </c>
      <c r="BU631" s="337">
        <f>BO631/BR631/Modelling[[#This Row],[Comisined DC ]]</f>
        <v>0.75126243906168066</v>
      </c>
      <c r="BV631" s="323">
        <f>BM631/(24*Modelling[[#This Row],[Comisined DC ]])</f>
        <v>0.1925492073242106</v>
      </c>
      <c r="BW631" s="323">
        <f>Modelling[[#This Row],[Target E_Grid MTD
MWh]]/Modelling[[#This Row],[MTD DC Capcity]]/(24*CG631)</f>
        <v>0.19254920732421063</v>
      </c>
      <c r="BX631" s="338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3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627</v>
      </c>
      <c r="F632" s="3" t="s">
        <v>627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323">
        <f t="shared" si="222"/>
        <v>0.7002678729073224</v>
      </c>
      <c r="Q632" s="337">
        <f t="shared" si="223"/>
        <v>0.70026787290732229</v>
      </c>
      <c r="R632" s="337">
        <f t="shared" si="224"/>
        <v>0.69332964898346272</v>
      </c>
      <c r="S632" s="323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338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627</v>
      </c>
      <c r="AD632" s="3" t="s">
        <v>627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323">
        <f t="shared" si="230"/>
        <v>0.80627505984076986</v>
      </c>
      <c r="AO632" s="323">
        <f t="shared" si="231"/>
        <v>0.80627505984076986</v>
      </c>
      <c r="AP632" s="323">
        <f t="shared" si="232"/>
        <v>0.8935165029838168</v>
      </c>
      <c r="AQ632" s="323">
        <f t="shared" si="233"/>
        <v>0.21771594021775628</v>
      </c>
      <c r="AR632" s="323">
        <f>Modelling_new[[#This Row],[Target E_Grid MTD
MWh]]/Modelling_new[[#This Row],[MTD DC Capcity]]/(24*CG632)</f>
        <v>0.19565689311866188</v>
      </c>
      <c r="AS632" s="323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627</v>
      </c>
      <c r="BI632" s="3" t="s">
        <v>627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323">
        <f>BM632/Modelling[[#This Row],[Comisined DC ]]/BP632</f>
        <v>0.71307421726835596</v>
      </c>
      <c r="BT632" s="337">
        <f>BN632/BQ632/Modelling[[#This Row],[Comisined DC ]]</f>
        <v>0.71307421726835574</v>
      </c>
      <c r="BU632" s="337">
        <f>BO632/BR632/Modelling[[#This Row],[Comisined DC ]]</f>
        <v>0.75108319394212331</v>
      </c>
      <c r="BV632" s="323">
        <f>BM632/(24*Modelling[[#This Row],[Comisined DC ]])</f>
        <v>0.1925492073242106</v>
      </c>
      <c r="BW632" s="323">
        <f>Modelling[[#This Row],[Target E_Grid MTD
MWh]]/Modelling[[#This Row],[MTD DC Capcity]]/(24*CG632)</f>
        <v>0.1925492073242106</v>
      </c>
      <c r="BX632" s="338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3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627</v>
      </c>
      <c r="F633" s="3" t="s">
        <v>627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323">
        <f t="shared" si="222"/>
        <v>0.7002678729073224</v>
      </c>
      <c r="Q633" s="337">
        <f t="shared" si="223"/>
        <v>0.70026787290732229</v>
      </c>
      <c r="R633" s="337">
        <f t="shared" si="224"/>
        <v>0.69336206297575398</v>
      </c>
      <c r="S633" s="323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338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627</v>
      </c>
      <c r="AD633" s="3" t="s">
        <v>627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323">
        <f t="shared" si="230"/>
        <v>0.80627505984076986</v>
      </c>
      <c r="AO633" s="323">
        <f t="shared" si="231"/>
        <v>0.80627505984076986</v>
      </c>
      <c r="AP633" s="323">
        <f t="shared" si="232"/>
        <v>0.89310892843785961</v>
      </c>
      <c r="AQ633" s="323">
        <f t="shared" si="233"/>
        <v>0.21771594021775628</v>
      </c>
      <c r="AR633" s="323">
        <f>Modelling_new[[#This Row],[Target E_Grid MTD
MWh]]/Modelling_new[[#This Row],[MTD DC Capcity]]/(24*CG633)</f>
        <v>0.19565689311866191</v>
      </c>
      <c r="AS633" s="323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627</v>
      </c>
      <c r="BI633" s="3" t="s">
        <v>627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323">
        <f>BM633/Modelling[[#This Row],[Comisined DC ]]/BP633</f>
        <v>0.71307421726835596</v>
      </c>
      <c r="BT633" s="337">
        <f>BN633/BQ633/Modelling[[#This Row],[Comisined DC ]]</f>
        <v>0.71307421726835574</v>
      </c>
      <c r="BU633" s="337">
        <f>BO633/BR633/Modelling[[#This Row],[Comisined DC ]]</f>
        <v>0.75090562361714908</v>
      </c>
      <c r="BV633" s="323">
        <f>BM633/(24*Modelling[[#This Row],[Comisined DC ]])</f>
        <v>0.1925492073242106</v>
      </c>
      <c r="BW633" s="323">
        <f>Modelling[[#This Row],[Target E_Grid MTD
MWh]]/Modelling[[#This Row],[MTD DC Capcity]]/(24*CG633)</f>
        <v>0.19254920732421063</v>
      </c>
      <c r="BX633" s="338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3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627</v>
      </c>
      <c r="F634" s="3" t="s">
        <v>627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323">
        <f t="shared" si="222"/>
        <v>0.7002678729073224</v>
      </c>
      <c r="Q634" s="337">
        <f t="shared" si="223"/>
        <v>0.70026787290732218</v>
      </c>
      <c r="R634" s="337">
        <f t="shared" si="224"/>
        <v>0.69339417551302529</v>
      </c>
      <c r="S634" s="323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338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627</v>
      </c>
      <c r="AD634" s="3" t="s">
        <v>627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323">
        <f t="shared" si="230"/>
        <v>0.80627505984076986</v>
      </c>
      <c r="AO634" s="323">
        <f t="shared" si="231"/>
        <v>0.80627505984076986</v>
      </c>
      <c r="AP634" s="323">
        <f t="shared" si="232"/>
        <v>0.89270514439668824</v>
      </c>
      <c r="AQ634" s="323">
        <f t="shared" si="233"/>
        <v>0.21771594021775628</v>
      </c>
      <c r="AR634" s="323">
        <f>Modelling_new[[#This Row],[Target E_Grid MTD
MWh]]/Modelling_new[[#This Row],[MTD DC Capcity]]/(24*CG634)</f>
        <v>0.19565689311866194</v>
      </c>
      <c r="AS634" s="323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627</v>
      </c>
      <c r="BI634" s="3" t="s">
        <v>627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323">
        <f>BM634/Modelling[[#This Row],[Comisined DC ]]/BP634</f>
        <v>0.71307421726835596</v>
      </c>
      <c r="BT634" s="337">
        <f>BN634/BQ634/Modelling[[#This Row],[Comisined DC ]]</f>
        <v>0.71307421726835574</v>
      </c>
      <c r="BU634" s="337">
        <f>BO634/BR634/Modelling[[#This Row],[Comisined DC ]]</f>
        <v>0.75072970472299527</v>
      </c>
      <c r="BV634" s="323">
        <f>BM634/(24*Modelling[[#This Row],[Comisined DC ]])</f>
        <v>0.1925492073242106</v>
      </c>
      <c r="BW634" s="323">
        <f>Modelling[[#This Row],[Target E_Grid MTD
MWh]]/Modelling[[#This Row],[MTD DC Capcity]]/(24*CG634)</f>
        <v>0.19254920732421063</v>
      </c>
      <c r="BX634" s="338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3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627</v>
      </c>
      <c r="F635" s="3" t="s">
        <v>627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323">
        <f t="shared" si="222"/>
        <v>0.7002678729073224</v>
      </c>
      <c r="Q635" s="337">
        <f t="shared" si="223"/>
        <v>0.70026787290732218</v>
      </c>
      <c r="R635" s="337">
        <f t="shared" si="224"/>
        <v>0.6934259907811775</v>
      </c>
      <c r="S635" s="323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338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627</v>
      </c>
      <c r="AD635" s="3" t="s">
        <v>627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323">
        <f t="shared" si="230"/>
        <v>0.80627505984076986</v>
      </c>
      <c r="AO635" s="323">
        <f t="shared" si="231"/>
        <v>0.80627505984076986</v>
      </c>
      <c r="AP635" s="323">
        <f t="shared" si="232"/>
        <v>0.89230509822665316</v>
      </c>
      <c r="AQ635" s="323">
        <f t="shared" si="233"/>
        <v>0.21771594021775628</v>
      </c>
      <c r="AR635" s="323">
        <f>Modelling_new[[#This Row],[Target E_Grid MTD
MWh]]/Modelling_new[[#This Row],[MTD DC Capcity]]/(24*CG635)</f>
        <v>0.19565689311866194</v>
      </c>
      <c r="AS635" s="323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627</v>
      </c>
      <c r="BI635" s="3" t="s">
        <v>627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323">
        <f>BM635/Modelling[[#This Row],[Comisined DC ]]/BP635</f>
        <v>0.71307421726835596</v>
      </c>
      <c r="BT635" s="337">
        <f>BN635/BQ635/Modelling[[#This Row],[Comisined DC ]]</f>
        <v>0.71307421726835574</v>
      </c>
      <c r="BU635" s="337">
        <f>BO635/BR635/Modelling[[#This Row],[Comisined DC ]]</f>
        <v>0.75055541432845918</v>
      </c>
      <c r="BV635" s="323">
        <f>BM635/(24*Modelling[[#This Row],[Comisined DC ]])</f>
        <v>0.1925492073242106</v>
      </c>
      <c r="BW635" s="323">
        <f>Modelling[[#This Row],[Target E_Grid MTD
MWh]]/Modelling[[#This Row],[MTD DC Capcity]]/(24*CG635)</f>
        <v>0.19254920732421063</v>
      </c>
      <c r="BX635" s="338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3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627</v>
      </c>
      <c r="F636" s="3" t="s">
        <v>627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323">
        <f t="shared" si="222"/>
        <v>0.7002678729073224</v>
      </c>
      <c r="Q636" s="337">
        <f t="shared" si="223"/>
        <v>0.70026787290732218</v>
      </c>
      <c r="R636" s="337">
        <f t="shared" si="224"/>
        <v>0.69345751288897017</v>
      </c>
      <c r="S636" s="323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338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627</v>
      </c>
      <c r="AD636" s="3" t="s">
        <v>627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323">
        <f t="shared" si="230"/>
        <v>0.80627505984076986</v>
      </c>
      <c r="AO636" s="323">
        <f t="shared" si="231"/>
        <v>0.80627505984076986</v>
      </c>
      <c r="AP636" s="323">
        <f t="shared" si="232"/>
        <v>0.89190873826408601</v>
      </c>
      <c r="AQ636" s="323">
        <f t="shared" si="233"/>
        <v>0.21771594021775628</v>
      </c>
      <c r="AR636" s="323">
        <f>Modelling_new[[#This Row],[Target E_Grid MTD
MWh]]/Modelling_new[[#This Row],[MTD DC Capcity]]/(24*CG636)</f>
        <v>0.19565689311866194</v>
      </c>
      <c r="AS636" s="323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627</v>
      </c>
      <c r="BI636" s="3" t="s">
        <v>627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323">
        <f>BM636/Modelling[[#This Row],[Comisined DC ]]/BP636</f>
        <v>0.71307421726835596</v>
      </c>
      <c r="BT636" s="337">
        <f>BN636/BQ636/Modelling[[#This Row],[Comisined DC ]]</f>
        <v>0.71307421726835574</v>
      </c>
      <c r="BU636" s="337">
        <f>BO636/BR636/Modelling[[#This Row],[Comisined DC ]]</f>
        <v>0.75038272992493638</v>
      </c>
      <c r="BV636" s="323">
        <f>BM636/(24*Modelling[[#This Row],[Comisined DC ]])</f>
        <v>0.1925492073242106</v>
      </c>
      <c r="BW636" s="323">
        <f>Modelling[[#This Row],[Target E_Grid MTD
MWh]]/Modelling[[#This Row],[MTD DC Capcity]]/(24*CG636)</f>
        <v>0.1925492073242106</v>
      </c>
      <c r="BX636" s="338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3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627</v>
      </c>
      <c r="F637" s="3" t="s">
        <v>627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323">
        <f t="shared" si="222"/>
        <v>0.7002678729073224</v>
      </c>
      <c r="Q637" s="337">
        <f t="shared" si="223"/>
        <v>0.70026787290732195</v>
      </c>
      <c r="R637" s="337">
        <f t="shared" si="224"/>
        <v>0.69348874586979004</v>
      </c>
      <c r="S637" s="323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338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627</v>
      </c>
      <c r="AD637" s="3" t="s">
        <v>627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323">
        <f t="shared" si="230"/>
        <v>0.80627505984076986</v>
      </c>
      <c r="AO637" s="323">
        <f t="shared" si="231"/>
        <v>0.80627505984076986</v>
      </c>
      <c r="AP637" s="323">
        <f t="shared" si="232"/>
        <v>0.89151601379305701</v>
      </c>
      <c r="AQ637" s="323">
        <f t="shared" si="233"/>
        <v>0.21771594021775628</v>
      </c>
      <c r="AR637" s="323">
        <f>Modelling_new[[#This Row],[Target E_Grid MTD
MWh]]/Modelling_new[[#This Row],[MTD DC Capcity]]/(24*CG637)</f>
        <v>0.19565689311866194</v>
      </c>
      <c r="AS637" s="323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627</v>
      </c>
      <c r="BI637" s="3" t="s">
        <v>627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323">
        <f>BM637/Modelling[[#This Row],[Comisined DC ]]/BP637</f>
        <v>0.71307421726835596</v>
      </c>
      <c r="BT637" s="337">
        <f>BN637/BQ637/Modelling[[#This Row],[Comisined DC ]]</f>
        <v>0.71307421726835563</v>
      </c>
      <c r="BU637" s="337">
        <f>BO637/BR637/Modelling[[#This Row],[Comisined DC ]]</f>
        <v>0.75021162941672848</v>
      </c>
      <c r="BV637" s="323">
        <f>BM637/(24*Modelling[[#This Row],[Comisined DC ]])</f>
        <v>0.1925492073242106</v>
      </c>
      <c r="BW637" s="323">
        <f>Modelling[[#This Row],[Target E_Grid MTD
MWh]]/Modelling[[#This Row],[MTD DC Capcity]]/(24*CG637)</f>
        <v>0.1925492073242106</v>
      </c>
      <c r="BX637" s="338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3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627</v>
      </c>
      <c r="F638" s="3" t="s">
        <v>627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323">
        <f t="shared" si="222"/>
        <v>0.7002678729073224</v>
      </c>
      <c r="Q638" s="337">
        <f t="shared" si="223"/>
        <v>0.70026787290732218</v>
      </c>
      <c r="R638" s="337">
        <f t="shared" si="224"/>
        <v>0.69351969368337141</v>
      </c>
      <c r="S638" s="323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338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627</v>
      </c>
      <c r="AD638" s="3" t="s">
        <v>627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323">
        <f t="shared" si="230"/>
        <v>0.80627505984076986</v>
      </c>
      <c r="AO638" s="323">
        <f t="shared" si="231"/>
        <v>0.80627505984076986</v>
      </c>
      <c r="AP638" s="323">
        <f t="shared" si="232"/>
        <v>0.89112687502374155</v>
      </c>
      <c r="AQ638" s="323">
        <f t="shared" si="233"/>
        <v>0.21771594021775628</v>
      </c>
      <c r="AR638" s="323">
        <f>Modelling_new[[#This Row],[Target E_Grid MTD
MWh]]/Modelling_new[[#This Row],[MTD DC Capcity]]/(24*CG638)</f>
        <v>0.19565689311866194</v>
      </c>
      <c r="AS638" s="323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627</v>
      </c>
      <c r="BI638" s="3" t="s">
        <v>627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323">
        <f>BM638/Modelling[[#This Row],[Comisined DC ]]/BP638</f>
        <v>0.71307421726835596</v>
      </c>
      <c r="BT638" s="337">
        <f>BN638/BQ638/Modelling[[#This Row],[Comisined DC ]]</f>
        <v>0.71307421726835574</v>
      </c>
      <c r="BU638" s="337">
        <f>BO638/BR638/Modelling[[#This Row],[Comisined DC ]]</f>
        <v>0.75004209111161924</v>
      </c>
      <c r="BV638" s="323">
        <f>BM638/(24*Modelling[[#This Row],[Comisined DC ]])</f>
        <v>0.1925492073242106</v>
      </c>
      <c r="BW638" s="323">
        <f>Modelling[[#This Row],[Target E_Grid MTD
MWh]]/Modelling[[#This Row],[MTD DC Capcity]]/(24*CG638)</f>
        <v>0.1925492073242106</v>
      </c>
      <c r="BX638" s="338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3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627</v>
      </c>
      <c r="F639" s="3" t="s">
        <v>627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323">
        <f t="shared" si="222"/>
        <v>0.7002678729073224</v>
      </c>
      <c r="Q639" s="337">
        <f t="shared" si="223"/>
        <v>0.70026787290732218</v>
      </c>
      <c r="R639" s="337">
        <f t="shared" si="224"/>
        <v>0.69355036021747019</v>
      </c>
      <c r="S639" s="323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338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627</v>
      </c>
      <c r="AD639" s="3" t="s">
        <v>627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323">
        <f t="shared" si="230"/>
        <v>0.80627505984076986</v>
      </c>
      <c r="AO639" s="323">
        <f t="shared" si="231"/>
        <v>0.80627505984076986</v>
      </c>
      <c r="AP639" s="323">
        <f t="shared" si="232"/>
        <v>0.89074127307137863</v>
      </c>
      <c r="AQ639" s="323">
        <f t="shared" si="233"/>
        <v>0.21771594021775628</v>
      </c>
      <c r="AR639" s="323">
        <f>Modelling_new[[#This Row],[Target E_Grid MTD
MWh]]/Modelling_new[[#This Row],[MTD DC Capcity]]/(24*CG639)</f>
        <v>0.19565689311866194</v>
      </c>
      <c r="AS639" s="323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627</v>
      </c>
      <c r="BI639" s="3" t="s">
        <v>627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323">
        <f>BM639/Modelling[[#This Row],[Comisined DC ]]/BP639</f>
        <v>0.71307421726835596</v>
      </c>
      <c r="BT639" s="337">
        <f>BN639/BQ639/Modelling[[#This Row],[Comisined DC ]]</f>
        <v>0.71307421726835574</v>
      </c>
      <c r="BU639" s="337">
        <f>BO639/BR639/Modelling[[#This Row],[Comisined DC ]]</f>
        <v>0.74987409371170566</v>
      </c>
      <c r="BV639" s="323">
        <f>BM639/(24*Modelling[[#This Row],[Comisined DC ]])</f>
        <v>0.1925492073242106</v>
      </c>
      <c r="BW639" s="323">
        <f>Modelling[[#This Row],[Target E_Grid MTD
MWh]]/Modelling[[#This Row],[MTD DC Capcity]]/(24*CG639)</f>
        <v>0.19254920732421066</v>
      </c>
      <c r="BX639" s="338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3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627</v>
      </c>
      <c r="F640" s="3" t="s">
        <v>627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323">
        <f t="shared" ref="P640:P703" si="247">J640/$Q$1/M640</f>
        <v>0.7002678729073224</v>
      </c>
      <c r="Q640" s="337">
        <f t="shared" ref="Q640:Q703" si="248">K640/N640/$Q$1</f>
        <v>0.70026787290732218</v>
      </c>
      <c r="R640" s="337">
        <f t="shared" ref="R640:R703" si="249">L640/O640/$Q$1</f>
        <v>0.69358074928949154</v>
      </c>
      <c r="S640" s="323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338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627</v>
      </c>
      <c r="AD640" s="3" t="s">
        <v>627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323">
        <f t="shared" ref="AN640:AN703" si="255">AH640/$Q$1/AK640</f>
        <v>0.80627505984076986</v>
      </c>
      <c r="AO640" s="323">
        <f t="shared" ref="AO640:AO703" si="256">AI640/AL640/$Q$1</f>
        <v>0.80627505984076986</v>
      </c>
      <c r="AP640" s="323">
        <f t="shared" ref="AP640:AP703" si="257">AJ640/AM640/$Q$1</f>
        <v>0.8903591599357974</v>
      </c>
      <c r="AQ640" s="323">
        <f t="shared" ref="AQ640:AQ703" si="258">AH640/(24*$Q$1)</f>
        <v>0.21771594021775628</v>
      </c>
      <c r="AR640" s="323">
        <f>Modelling_new[[#This Row],[Target E_Grid MTD
MWh]]/Modelling_new[[#This Row],[MTD DC Capcity]]/(24*CG640)</f>
        <v>0.19565689311866194</v>
      </c>
      <c r="AS640" s="323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627</v>
      </c>
      <c r="BI640" s="3" t="s">
        <v>627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323">
        <f>BM640/Modelling[[#This Row],[Comisined DC ]]/BP640</f>
        <v>0.71307421726835596</v>
      </c>
      <c r="BT640" s="337">
        <f>BN640/BQ640/Modelling[[#This Row],[Comisined DC ]]</f>
        <v>0.71307421726835574</v>
      </c>
      <c r="BU640" s="337">
        <f>BO640/BR640/Modelling[[#This Row],[Comisined DC ]]</f>
        <v>0.74970761630448057</v>
      </c>
      <c r="BV640" s="323">
        <f>BM640/(24*Modelling[[#This Row],[Comisined DC ]])</f>
        <v>0.1925492073242106</v>
      </c>
      <c r="BW640" s="323">
        <f>Modelling[[#This Row],[Target E_Grid MTD
MWh]]/Modelling[[#This Row],[MTD DC Capcity]]/(24*CG640)</f>
        <v>0.19254920732421066</v>
      </c>
      <c r="BX640" s="338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3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627</v>
      </c>
      <c r="F641" s="3" t="s">
        <v>627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323">
        <f t="shared" si="247"/>
        <v>0.7002678729073224</v>
      </c>
      <c r="Q641" s="337">
        <f t="shared" si="248"/>
        <v>0.70026787290732218</v>
      </c>
      <c r="R641" s="337">
        <f t="shared" si="249"/>
        <v>0.69361086464807387</v>
      </c>
      <c r="S641" s="323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338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627</v>
      </c>
      <c r="AD641" s="3" t="s">
        <v>627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323">
        <f t="shared" si="255"/>
        <v>0.80627505984076986</v>
      </c>
      <c r="AO641" s="323">
        <f t="shared" si="256"/>
        <v>0.80627505984076986</v>
      </c>
      <c r="AP641" s="323">
        <f t="shared" si="257"/>
        <v>0.88998048848149924</v>
      </c>
      <c r="AQ641" s="323">
        <f t="shared" si="258"/>
        <v>0.21771594021775628</v>
      </c>
      <c r="AR641" s="323">
        <f>Modelling_new[[#This Row],[Target E_Grid MTD
MWh]]/Modelling_new[[#This Row],[MTD DC Capcity]]/(24*CG641)</f>
        <v>0.19565689311866194</v>
      </c>
      <c r="AS641" s="323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627</v>
      </c>
      <c r="BI641" s="3" t="s">
        <v>627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323">
        <f>BM641/Modelling[[#This Row],[Comisined DC ]]/BP641</f>
        <v>0.71307421726835596</v>
      </c>
      <c r="BT641" s="337">
        <f>BN641/BQ641/Modelling[[#This Row],[Comisined DC ]]</f>
        <v>0.71307421726835574</v>
      </c>
      <c r="BU641" s="337">
        <f>BO641/BR641/Modelling[[#This Row],[Comisined DC ]]</f>
        <v>0.74954263835415191</v>
      </c>
      <c r="BV641" s="323">
        <f>BM641/(24*Modelling[[#This Row],[Comisined DC ]])</f>
        <v>0.1925492073242106</v>
      </c>
      <c r="BW641" s="323">
        <f>Modelling[[#This Row],[Target E_Grid MTD
MWh]]/Modelling[[#This Row],[MTD DC Capcity]]/(24*CG641)</f>
        <v>0.19254920732421063</v>
      </c>
      <c r="BX641" s="338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3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627</v>
      </c>
      <c r="F642" s="3" t="s">
        <v>627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323">
        <f t="shared" si="247"/>
        <v>0.7002678729073224</v>
      </c>
      <c r="Q642" s="337">
        <f t="shared" si="248"/>
        <v>0.70026787290732218</v>
      </c>
      <c r="R642" s="337">
        <f t="shared" si="249"/>
        <v>0.6936407099746309</v>
      </c>
      <c r="S642" s="323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338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627</v>
      </c>
      <c r="AD642" s="3" t="s">
        <v>627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323">
        <f t="shared" si="255"/>
        <v>0.80627505984076986</v>
      </c>
      <c r="AO642" s="323">
        <f t="shared" si="256"/>
        <v>0.80627505984076986</v>
      </c>
      <c r="AP642" s="323">
        <f t="shared" si="257"/>
        <v>0.88960521241827517</v>
      </c>
      <c r="AQ642" s="323">
        <f t="shared" si="258"/>
        <v>0.21771594021775628</v>
      </c>
      <c r="AR642" s="323">
        <f>Modelling_new[[#This Row],[Target E_Grid MTD
MWh]]/Modelling_new[[#This Row],[MTD DC Capcity]]/(24*CG642)</f>
        <v>0.19565689311866188</v>
      </c>
      <c r="AS642" s="323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627</v>
      </c>
      <c r="BI642" s="3" t="s">
        <v>627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323">
        <f>BM642/Modelling[[#This Row],[Comisined DC ]]/BP642</f>
        <v>0.71307421726835596</v>
      </c>
      <c r="BT642" s="337">
        <f>BN642/BQ642/Modelling[[#This Row],[Comisined DC ]]</f>
        <v>0.71307421726835574</v>
      </c>
      <c r="BU642" s="337">
        <f>BO642/BR642/Modelling[[#This Row],[Comisined DC ]]</f>
        <v>0.74937913969320125</v>
      </c>
      <c r="BV642" s="323">
        <f>BM642/(24*Modelling[[#This Row],[Comisined DC ]])</f>
        <v>0.1925492073242106</v>
      </c>
      <c r="BW642" s="323">
        <f>Modelling[[#This Row],[Target E_Grid MTD
MWh]]/Modelling[[#This Row],[MTD DC Capcity]]/(24*CG642)</f>
        <v>0.19254920732421069</v>
      </c>
      <c r="BX642" s="338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3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627</v>
      </c>
      <c r="F643" s="3" t="s">
        <v>627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323">
        <f t="shared" si="247"/>
        <v>0.7002678729073224</v>
      </c>
      <c r="Q643" s="337">
        <f t="shared" si="248"/>
        <v>0.70026787290732218</v>
      </c>
      <c r="R643" s="337">
        <f t="shared" si="249"/>
        <v>0.69367028888485149</v>
      </c>
      <c r="S643" s="323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338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627</v>
      </c>
      <c r="AD643" s="3" t="s">
        <v>627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323">
        <f t="shared" si="255"/>
        <v>0.80627505984076986</v>
      </c>
      <c r="AO643" s="323">
        <f t="shared" si="256"/>
        <v>0.80627505984076986</v>
      </c>
      <c r="AP643" s="323">
        <f t="shared" si="257"/>
        <v>0.88923328628234111</v>
      </c>
      <c r="AQ643" s="323">
        <f t="shared" si="258"/>
        <v>0.21771594021775628</v>
      </c>
      <c r="AR643" s="323">
        <f>Modelling_new[[#This Row],[Target E_Grid MTD
MWh]]/Modelling_new[[#This Row],[MTD DC Capcity]]/(24*CG643)</f>
        <v>0.19565689311866188</v>
      </c>
      <c r="AS643" s="323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627</v>
      </c>
      <c r="BI643" s="3" t="s">
        <v>627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323">
        <f>BM643/Modelling[[#This Row],[Comisined DC ]]/BP643</f>
        <v>0.71307421726835596</v>
      </c>
      <c r="BT643" s="337">
        <f>BN643/BQ643/Modelling[[#This Row],[Comisined DC ]]</f>
        <v>0.71307421726835585</v>
      </c>
      <c r="BU643" s="337">
        <f>BO643/BR643/Modelling[[#This Row],[Comisined DC ]]</f>
        <v>0.74921710051416213</v>
      </c>
      <c r="BV643" s="323">
        <f>BM643/(24*Modelling[[#This Row],[Comisined DC ]])</f>
        <v>0.1925492073242106</v>
      </c>
      <c r="BW643" s="323">
        <f>Modelling[[#This Row],[Target E_Grid MTD
MWh]]/Modelling[[#This Row],[MTD DC Capcity]]/(24*CG643)</f>
        <v>0.19254920732421074</v>
      </c>
      <c r="BX643" s="338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3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627</v>
      </c>
      <c r="F644" s="3" t="s">
        <v>627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323">
        <f t="shared" si="247"/>
        <v>0.7002678729073224</v>
      </c>
      <c r="Q644" s="337">
        <f t="shared" si="248"/>
        <v>0.70026787290732229</v>
      </c>
      <c r="R644" s="337">
        <f t="shared" si="249"/>
        <v>0.69369960493016003</v>
      </c>
      <c r="S644" s="323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338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627</v>
      </c>
      <c r="AD644" s="3" t="s">
        <v>627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323">
        <f t="shared" si="255"/>
        <v>0.80627505984076986</v>
      </c>
      <c r="AO644" s="323">
        <f t="shared" si="256"/>
        <v>0.80627505984076986</v>
      </c>
      <c r="AP644" s="323">
        <f t="shared" si="257"/>
        <v>0.88886466541797793</v>
      </c>
      <c r="AQ644" s="323">
        <f t="shared" si="258"/>
        <v>0.21771594021775628</v>
      </c>
      <c r="AR644" s="323">
        <f>Modelling_new[[#This Row],[Target E_Grid MTD
MWh]]/Modelling_new[[#This Row],[MTD DC Capcity]]/(24*CG644)</f>
        <v>0.19565689311866188</v>
      </c>
      <c r="AS644" s="323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627</v>
      </c>
      <c r="BI644" s="3" t="s">
        <v>627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323">
        <f>BM644/Modelling[[#This Row],[Comisined DC ]]/BP644</f>
        <v>0.71307421726835596</v>
      </c>
      <c r="BT644" s="337">
        <f>BN644/BQ644/Modelling[[#This Row],[Comisined DC ]]</f>
        <v>0.71307421726835574</v>
      </c>
      <c r="BU644" s="337">
        <f>BO644/BR644/Modelling[[#This Row],[Comisined DC ]]</f>
        <v>0.74905650136162316</v>
      </c>
      <c r="BV644" s="323">
        <f>BM644/(24*Modelling[[#This Row],[Comisined DC ]])</f>
        <v>0.1925492073242106</v>
      </c>
      <c r="BW644" s="323">
        <f>Modelling[[#This Row],[Target E_Grid MTD
MWh]]/Modelling[[#This Row],[MTD DC Capcity]]/(24*CG644)</f>
        <v>0.19254920732421069</v>
      </c>
      <c r="BX644" s="338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3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627</v>
      </c>
      <c r="F645" s="3" t="s">
        <v>627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323">
        <f t="shared" si="247"/>
        <v>0.7002678729073224</v>
      </c>
      <c r="Q645" s="337">
        <f t="shared" si="248"/>
        <v>0.70026787290732229</v>
      </c>
      <c r="R645" s="337">
        <f t="shared" si="249"/>
        <v>0.6937286615991376</v>
      </c>
      <c r="S645" s="323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338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627</v>
      </c>
      <c r="AD645" s="3" t="s">
        <v>627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323">
        <f t="shared" si="255"/>
        <v>0.80627505984076986</v>
      </c>
      <c r="AO645" s="323">
        <f t="shared" si="256"/>
        <v>0.80627505984076964</v>
      </c>
      <c r="AP645" s="323">
        <f t="shared" si="257"/>
        <v>0.88849930595965687</v>
      </c>
      <c r="AQ645" s="323">
        <f t="shared" si="258"/>
        <v>0.21771594021775628</v>
      </c>
      <c r="AR645" s="323">
        <f>Modelling_new[[#This Row],[Target E_Grid MTD
MWh]]/Modelling_new[[#This Row],[MTD DC Capcity]]/(24*CG645)</f>
        <v>0.19565689311866186</v>
      </c>
      <c r="AS645" s="323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627</v>
      </c>
      <c r="BI645" s="3" t="s">
        <v>627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323">
        <f>BM645/Modelling[[#This Row],[Comisined DC ]]/BP645</f>
        <v>0.71307421726835596</v>
      </c>
      <c r="BT645" s="337">
        <f>BN645/BQ645/Modelling[[#This Row],[Comisined DC ]]</f>
        <v>0.71307421726835574</v>
      </c>
      <c r="BU645" s="337">
        <f>BO645/BR645/Modelling[[#This Row],[Comisined DC ]]</f>
        <v>0.74889732312443957</v>
      </c>
      <c r="BV645" s="323">
        <f>BM645/(24*Modelling[[#This Row],[Comisined DC ]])</f>
        <v>0.1925492073242106</v>
      </c>
      <c r="BW645" s="323">
        <f>Modelling[[#This Row],[Target E_Grid MTD
MWh]]/Modelling[[#This Row],[MTD DC Capcity]]/(24*CG645)</f>
        <v>0.19254920732421074</v>
      </c>
      <c r="BX645" s="338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3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627</v>
      </c>
      <c r="F646" s="3" t="s">
        <v>627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323">
        <f t="shared" si="247"/>
        <v>0.7002678729073224</v>
      </c>
      <c r="Q646" s="337">
        <f t="shared" si="248"/>
        <v>0.70026787290732229</v>
      </c>
      <c r="R646" s="337">
        <f t="shared" si="249"/>
        <v>0.69375746231890623</v>
      </c>
      <c r="S646" s="323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338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627</v>
      </c>
      <c r="AD646" s="3" t="s">
        <v>627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323">
        <f t="shared" si="255"/>
        <v>0.80627505984076986</v>
      </c>
      <c r="AO646" s="323">
        <f t="shared" si="256"/>
        <v>0.80627505984076964</v>
      </c>
      <c r="AP646" s="323">
        <f t="shared" si="257"/>
        <v>0.88813716481463956</v>
      </c>
      <c r="AQ646" s="323">
        <f t="shared" si="258"/>
        <v>0.21771594021775628</v>
      </c>
      <c r="AR646" s="323">
        <f>Modelling_new[[#This Row],[Target E_Grid MTD
MWh]]/Modelling_new[[#This Row],[MTD DC Capcity]]/(24*CG646)</f>
        <v>0.19565689311866183</v>
      </c>
      <c r="AS646" s="323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627</v>
      </c>
      <c r="BI646" s="3" t="s">
        <v>627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323">
        <f>BM646/Modelling[[#This Row],[Comisined DC ]]/BP646</f>
        <v>0.71307421726835596</v>
      </c>
      <c r="BT646" s="337">
        <f>BN646/BQ646/Modelling[[#This Row],[Comisined DC ]]</f>
        <v>0.71307421726835563</v>
      </c>
      <c r="BU646" s="337">
        <f>BO646/BR646/Modelling[[#This Row],[Comisined DC ]]</f>
        <v>0.74873954702815237</v>
      </c>
      <c r="BV646" s="323">
        <f>BM646/(24*Modelling[[#This Row],[Comisined DC ]])</f>
        <v>0.1925492073242106</v>
      </c>
      <c r="BW646" s="323">
        <f>Modelling[[#This Row],[Target E_Grid MTD
MWh]]/Modelling[[#This Row],[MTD DC Capcity]]/(24*CG646)</f>
        <v>0.19254920732421071</v>
      </c>
      <c r="BX646" s="338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3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627</v>
      </c>
      <c r="F647" s="3" t="s">
        <v>627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323">
        <f t="shared" si="247"/>
        <v>0.7002678729073224</v>
      </c>
      <c r="Q647" s="337">
        <f t="shared" si="248"/>
        <v>0.70026787290732229</v>
      </c>
      <c r="R647" s="337">
        <f t="shared" si="249"/>
        <v>0.69378601045647625</v>
      </c>
      <c r="S647" s="323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338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627</v>
      </c>
      <c r="AD647" s="3" t="s">
        <v>627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323">
        <f t="shared" si="255"/>
        <v>0.80627505984076986</v>
      </c>
      <c r="AO647" s="323">
        <f t="shared" si="256"/>
        <v>0.80627505984076964</v>
      </c>
      <c r="AP647" s="323">
        <f t="shared" si="257"/>
        <v>0.88777819964603311</v>
      </c>
      <c r="AQ647" s="323">
        <f t="shared" si="258"/>
        <v>0.21771594021775628</v>
      </c>
      <c r="AR647" s="323">
        <f>Modelling_new[[#This Row],[Target E_Grid MTD
MWh]]/Modelling_new[[#This Row],[MTD DC Capcity]]/(24*CG647)</f>
        <v>0.19565689311866186</v>
      </c>
      <c r="AS647" s="323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627</v>
      </c>
      <c r="BI647" s="3" t="s">
        <v>627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323">
        <f>BM647/Modelling[[#This Row],[Comisined DC ]]/BP647</f>
        <v>0.71307421726835596</v>
      </c>
      <c r="BT647" s="337">
        <f>BN647/BQ647/Modelling[[#This Row],[Comisined DC ]]</f>
        <v>0.71307421726835574</v>
      </c>
      <c r="BU647" s="337">
        <f>BO647/BR647/Modelling[[#This Row],[Comisined DC ]]</f>
        <v>0.74858315462760605</v>
      </c>
      <c r="BV647" s="323">
        <f>BM647/(24*Modelling[[#This Row],[Comisined DC ]])</f>
        <v>0.1925492073242106</v>
      </c>
      <c r="BW647" s="323">
        <f>Modelling[[#This Row],[Target E_Grid MTD
MWh]]/Modelling[[#This Row],[MTD DC Capcity]]/(24*CG647)</f>
        <v>0.19254920732421071</v>
      </c>
      <c r="BX647" s="338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3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627</v>
      </c>
      <c r="F648" s="3" t="s">
        <v>627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323">
        <f t="shared" si="247"/>
        <v>0.7002678729073224</v>
      </c>
      <c r="Q648" s="337">
        <f t="shared" si="248"/>
        <v>0.7002678729073224</v>
      </c>
      <c r="R648" s="337">
        <f t="shared" si="249"/>
        <v>0.69381430932005861</v>
      </c>
      <c r="S648" s="323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338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627</v>
      </c>
      <c r="AD648" s="3" t="s">
        <v>627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323">
        <f t="shared" si="255"/>
        <v>0.80627505984076986</v>
      </c>
      <c r="AO648" s="323">
        <f t="shared" si="256"/>
        <v>0.80627505984076964</v>
      </c>
      <c r="AP648" s="323">
        <f t="shared" si="257"/>
        <v>0.88742236885629222</v>
      </c>
      <c r="AQ648" s="323">
        <f t="shared" si="258"/>
        <v>0.21771594021775628</v>
      </c>
      <c r="AR648" s="323">
        <f>Modelling_new[[#This Row],[Target E_Grid MTD
MWh]]/Modelling_new[[#This Row],[MTD DC Capcity]]/(24*CG648)</f>
        <v>0.19565689311866183</v>
      </c>
      <c r="AS648" s="323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627</v>
      </c>
      <c r="BI648" s="3" t="s">
        <v>627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323">
        <f>BM648/Modelling[[#This Row],[Comisined DC ]]/BP648</f>
        <v>0.71307421726835596</v>
      </c>
      <c r="BT648" s="337">
        <f>BN648/BQ648/Modelling[[#This Row],[Comisined DC ]]</f>
        <v>0.71307421726835585</v>
      </c>
      <c r="BU648" s="337">
        <f>BO648/BR648/Modelling[[#This Row],[Comisined DC ]]</f>
        <v>0.74842812779976142</v>
      </c>
      <c r="BV648" s="323">
        <f>BM648/(24*Modelling[[#This Row],[Comisined DC ]])</f>
        <v>0.1925492073242106</v>
      </c>
      <c r="BW648" s="323">
        <f>Modelling[[#This Row],[Target E_Grid MTD
MWh]]/Modelling[[#This Row],[MTD DC Capcity]]/(24*CG648)</f>
        <v>0.19254920732421074</v>
      </c>
      <c r="BX648" s="338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3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627</v>
      </c>
      <c r="F649" s="3" t="s">
        <v>627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323">
        <f t="shared" si="247"/>
        <v>0.7002678729073224</v>
      </c>
      <c r="Q649" s="337">
        <f t="shared" si="248"/>
        <v>0.7002678729073224</v>
      </c>
      <c r="R649" s="337">
        <f t="shared" si="249"/>
        <v>0.69384236216034245</v>
      </c>
      <c r="S649" s="323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338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627</v>
      </c>
      <c r="AD649" s="3" t="s">
        <v>627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323">
        <f t="shared" si="255"/>
        <v>0.80627505984076986</v>
      </c>
      <c r="AO649" s="323">
        <f t="shared" si="256"/>
        <v>0.80627505984076964</v>
      </c>
      <c r="AP649" s="323">
        <f t="shared" si="257"/>
        <v>0.88706963157114838</v>
      </c>
      <c r="AQ649" s="323">
        <f t="shared" si="258"/>
        <v>0.21771594021775628</v>
      </c>
      <c r="AR649" s="323">
        <f>Modelling_new[[#This Row],[Target E_Grid MTD
MWh]]/Modelling_new[[#This Row],[MTD DC Capcity]]/(24*CG649)</f>
        <v>0.1956568931186618</v>
      </c>
      <c r="AS649" s="323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627</v>
      </c>
      <c r="BI649" s="3" t="s">
        <v>627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323">
        <f>BM649/Modelling[[#This Row],[Comisined DC ]]/BP649</f>
        <v>0.71307421726835596</v>
      </c>
      <c r="BT649" s="337">
        <f>BN649/BQ649/Modelling[[#This Row],[Comisined DC ]]</f>
        <v>0.71307421726835585</v>
      </c>
      <c r="BU649" s="337">
        <f>BO649/BR649/Modelling[[#This Row],[Comisined DC ]]</f>
        <v>0.74827444873669247</v>
      </c>
      <c r="BV649" s="323">
        <f>BM649/(24*Modelling[[#This Row],[Comisined DC ]])</f>
        <v>0.1925492073242106</v>
      </c>
      <c r="BW649" s="323">
        <f>Modelling[[#This Row],[Target E_Grid MTD
MWh]]/Modelling[[#This Row],[MTD DC Capcity]]/(24*CG649)</f>
        <v>0.19254920732421074</v>
      </c>
      <c r="BX649" s="338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3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627</v>
      </c>
      <c r="F650" s="3" t="s">
        <v>627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323">
        <f t="shared" si="247"/>
        <v>0.7002678729073224</v>
      </c>
      <c r="Q650" s="337">
        <f t="shared" si="248"/>
        <v>0.70026787290732262</v>
      </c>
      <c r="R650" s="337">
        <f t="shared" si="249"/>
        <v>0.6938701721717403</v>
      </c>
      <c r="S650" s="323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338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627</v>
      </c>
      <c r="AD650" s="3" t="s">
        <v>627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323">
        <f t="shared" si="255"/>
        <v>0.80627505984076986</v>
      </c>
      <c r="AO650" s="323">
        <f t="shared" si="256"/>
        <v>0.80627505984076964</v>
      </c>
      <c r="AP650" s="323">
        <f t="shared" si="257"/>
        <v>0.88671994762395911</v>
      </c>
      <c r="AQ650" s="323">
        <f t="shared" si="258"/>
        <v>0.21771594021775628</v>
      </c>
      <c r="AR650" s="323">
        <f>Modelling_new[[#This Row],[Target E_Grid MTD
MWh]]/Modelling_new[[#This Row],[MTD DC Capcity]]/(24*CG650)</f>
        <v>0.1956568931186618</v>
      </c>
      <c r="AS650" s="323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627</v>
      </c>
      <c r="BI650" s="3" t="s">
        <v>627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323">
        <f>BM650/Modelling[[#This Row],[Comisined DC ]]/BP650</f>
        <v>0.71307421726835596</v>
      </c>
      <c r="BT650" s="337">
        <f>BN650/BQ650/Modelling[[#This Row],[Comisined DC ]]</f>
        <v>0.71307421726835585</v>
      </c>
      <c r="BU650" s="337">
        <f>BO650/BR650/Modelling[[#This Row],[Comisined DC ]]</f>
        <v>0.74812209993876955</v>
      </c>
      <c r="BV650" s="323">
        <f>BM650/(24*Modelling[[#This Row],[Comisined DC ]])</f>
        <v>0.1925492073242106</v>
      </c>
      <c r="BW650" s="323">
        <f>Modelling[[#This Row],[Target E_Grid MTD
MWh]]/Modelling[[#This Row],[MTD DC Capcity]]/(24*CG650)</f>
        <v>0.19254920732421071</v>
      </c>
      <c r="BX650" s="338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3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627</v>
      </c>
      <c r="F651" s="3" t="s">
        <v>627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323">
        <f t="shared" si="247"/>
        <v>0.7002678729073224</v>
      </c>
      <c r="Q651" s="337">
        <f t="shared" si="248"/>
        <v>0.70026787290732262</v>
      </c>
      <c r="R651" s="337">
        <f t="shared" si="249"/>
        <v>0.69389774249360081</v>
      </c>
      <c r="S651" s="323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338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627</v>
      </c>
      <c r="AD651" s="3" t="s">
        <v>627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323">
        <f t="shared" si="255"/>
        <v>0.80627505984076986</v>
      </c>
      <c r="AO651" s="323">
        <f t="shared" si="256"/>
        <v>0.80627505984076964</v>
      </c>
      <c r="AP651" s="323">
        <f t="shared" si="257"/>
        <v>0.88637327754045991</v>
      </c>
      <c r="AQ651" s="323">
        <f t="shared" si="258"/>
        <v>0.21771594021775628</v>
      </c>
      <c r="AR651" s="323">
        <f>Modelling_new[[#This Row],[Target E_Grid MTD
MWh]]/Modelling_new[[#This Row],[MTD DC Capcity]]/(24*CG651)</f>
        <v>0.19565689311866177</v>
      </c>
      <c r="AS651" s="323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627</v>
      </c>
      <c r="BI651" s="3" t="s">
        <v>627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323">
        <f>BM651/Modelling[[#This Row],[Comisined DC ]]/BP651</f>
        <v>0.71307421726835596</v>
      </c>
      <c r="BT651" s="337">
        <f>BN651/BQ651/Modelling[[#This Row],[Comisined DC ]]</f>
        <v>0.71307421726835585</v>
      </c>
      <c r="BU651" s="337">
        <f>BO651/BR651/Modelling[[#This Row],[Comisined DC ]]</f>
        <v>0.74797106420801462</v>
      </c>
      <c r="BV651" s="323">
        <f>BM651/(24*Modelling[[#This Row],[Comisined DC ]])</f>
        <v>0.1925492073242106</v>
      </c>
      <c r="BW651" s="323">
        <f>Modelling[[#This Row],[Target E_Grid MTD
MWh]]/Modelling[[#This Row],[MTD DC Capcity]]/(24*CG651)</f>
        <v>0.19254920732421071</v>
      </c>
      <c r="BX651" s="338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3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627</v>
      </c>
      <c r="F652" s="3" t="s">
        <v>627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323">
        <f t="shared" si="247"/>
        <v>0.7002678729073224</v>
      </c>
      <c r="Q652" s="337">
        <f t="shared" si="248"/>
        <v>0.70026787290732273</v>
      </c>
      <c r="R652" s="337">
        <f t="shared" si="249"/>
        <v>0.69392507621138932</v>
      </c>
      <c r="S652" s="323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338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627</v>
      </c>
      <c r="AD652" s="3" t="s">
        <v>627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323">
        <f t="shared" si="255"/>
        <v>0.80627505984076986</v>
      </c>
      <c r="AO652" s="323">
        <f t="shared" si="256"/>
        <v>0.80627505984076964</v>
      </c>
      <c r="AP652" s="323">
        <f t="shared" si="257"/>
        <v>0.88602958252390995</v>
      </c>
      <c r="AQ652" s="323">
        <f t="shared" si="258"/>
        <v>0.21771594021775628</v>
      </c>
      <c r="AR652" s="323">
        <f>Modelling_new[[#This Row],[Target E_Grid MTD
MWh]]/Modelling_new[[#This Row],[MTD DC Capcity]]/(24*CG652)</f>
        <v>0.19565689311866177</v>
      </c>
      <c r="AS652" s="323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627</v>
      </c>
      <c r="BI652" s="3" t="s">
        <v>627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323">
        <f>BM652/Modelling[[#This Row],[Comisined DC ]]/BP652</f>
        <v>0.71307421726835596</v>
      </c>
      <c r="BT652" s="337">
        <f>BN652/BQ652/Modelling[[#This Row],[Comisined DC ]]</f>
        <v>0.71307421726835596</v>
      </c>
      <c r="BU652" s="337">
        <f>BO652/BR652/Modelling[[#This Row],[Comisined DC ]]</f>
        <v>0.74782132464163098</v>
      </c>
      <c r="BV652" s="323">
        <f>BM652/(24*Modelling[[#This Row],[Comisined DC ]])</f>
        <v>0.1925492073242106</v>
      </c>
      <c r="BW652" s="323">
        <f>Modelling[[#This Row],[Target E_Grid MTD
MWh]]/Modelling[[#This Row],[MTD DC Capcity]]/(24*CG652)</f>
        <v>0.19254920732421074</v>
      </c>
      <c r="BX652" s="338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3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627</v>
      </c>
      <c r="F653" s="3" t="s">
        <v>627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323">
        <f t="shared" si="247"/>
        <v>0.7002678729073224</v>
      </c>
      <c r="Q653" s="337">
        <f t="shared" si="248"/>
        <v>0.70026787290732273</v>
      </c>
      <c r="R653" s="337">
        <f t="shared" si="249"/>
        <v>0.6939521763578399</v>
      </c>
      <c r="S653" s="323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338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627</v>
      </c>
      <c r="AD653" s="3" t="s">
        <v>627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323">
        <f t="shared" si="255"/>
        <v>0.80627505984076986</v>
      </c>
      <c r="AO653" s="323">
        <f t="shared" si="256"/>
        <v>0.80627505984076986</v>
      </c>
      <c r="AP653" s="323">
        <f t="shared" si="257"/>
        <v>0.88568882444061803</v>
      </c>
      <c r="AQ653" s="323">
        <f t="shared" si="258"/>
        <v>0.21771594021775628</v>
      </c>
      <c r="AR653" s="323">
        <f>Modelling_new[[#This Row],[Target E_Grid MTD
MWh]]/Modelling_new[[#This Row],[MTD DC Capcity]]/(24*CG653)</f>
        <v>0.19565689311866175</v>
      </c>
      <c r="AS653" s="323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627</v>
      </c>
      <c r="BI653" s="3" t="s">
        <v>627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323">
        <f>BM653/Modelling[[#This Row],[Comisined DC ]]/BP653</f>
        <v>0.71307421726835596</v>
      </c>
      <c r="BT653" s="337">
        <f>BN653/BQ653/Modelling[[#This Row],[Comisined DC ]]</f>
        <v>0.71307421726835596</v>
      </c>
      <c r="BU653" s="337">
        <f>BO653/BR653/Modelling[[#This Row],[Comisined DC ]]</f>
        <v>0.7476728646256956</v>
      </c>
      <c r="BV653" s="323">
        <f>BM653/(24*Modelling[[#This Row],[Comisined DC ]])</f>
        <v>0.1925492073242106</v>
      </c>
      <c r="BW653" s="323">
        <f>Modelling[[#This Row],[Target E_Grid MTD
MWh]]/Modelling[[#This Row],[MTD DC Capcity]]/(24*CG653)</f>
        <v>0.19254920732421071</v>
      </c>
      <c r="BX653" s="338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3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627</v>
      </c>
      <c r="F654" s="3" t="s">
        <v>627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323">
        <f t="shared" si="247"/>
        <v>0.7002678729073224</v>
      </c>
      <c r="Q654" s="337">
        <f t="shared" si="248"/>
        <v>0.70026787290732273</v>
      </c>
      <c r="R654" s="337">
        <f t="shared" si="249"/>
        <v>0.69397904591407678</v>
      </c>
      <c r="S654" s="323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338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627</v>
      </c>
      <c r="AD654" s="3" t="s">
        <v>627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323">
        <f t="shared" si="255"/>
        <v>0.80627505984076986</v>
      </c>
      <c r="AO654" s="323">
        <f t="shared" si="256"/>
        <v>0.80627505984076986</v>
      </c>
      <c r="AP654" s="323">
        <f t="shared" si="257"/>
        <v>0.8853509658058385</v>
      </c>
      <c r="AQ654" s="323">
        <f t="shared" si="258"/>
        <v>0.21771594021775628</v>
      </c>
      <c r="AR654" s="323">
        <f>Modelling_new[[#This Row],[Target E_Grid MTD
MWh]]/Modelling_new[[#This Row],[MTD DC Capcity]]/(24*CG654)</f>
        <v>0.19565689311866177</v>
      </c>
      <c r="AS654" s="323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627</v>
      </c>
      <c r="BI654" s="3" t="s">
        <v>627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323">
        <f>BM654/Modelling[[#This Row],[Comisined DC ]]/BP654</f>
        <v>0.71307421726835596</v>
      </c>
      <c r="BT654" s="337">
        <f>BN654/BQ654/Modelling[[#This Row],[Comisined DC ]]</f>
        <v>0.71307421726835596</v>
      </c>
      <c r="BU654" s="337">
        <f>BO654/BR654/Modelling[[#This Row],[Comisined DC ]]</f>
        <v>0.74752566782901597</v>
      </c>
      <c r="BV654" s="323">
        <f>BM654/(24*Modelling[[#This Row],[Comisined DC ]])</f>
        <v>0.1925492073242106</v>
      </c>
      <c r="BW654" s="323">
        <f>Modelling[[#This Row],[Target E_Grid MTD
MWh]]/Modelling[[#This Row],[MTD DC Capcity]]/(24*CG654)</f>
        <v>0.19254920732421071</v>
      </c>
      <c r="BX654" s="338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3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627</v>
      </c>
      <c r="F655" s="3" t="s">
        <v>627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323">
        <f t="shared" si="247"/>
        <v>0.7002678729073224</v>
      </c>
      <c r="Q655" s="337">
        <f t="shared" si="248"/>
        <v>0.70026787290732273</v>
      </c>
      <c r="R655" s="337">
        <f t="shared" si="249"/>
        <v>0.69400568781070693</v>
      </c>
      <c r="S655" s="323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338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627</v>
      </c>
      <c r="AD655" s="3" t="s">
        <v>627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323">
        <f t="shared" si="255"/>
        <v>0.80627505984076986</v>
      </c>
      <c r="AO655" s="323">
        <f t="shared" si="256"/>
        <v>0.80627505984076986</v>
      </c>
      <c r="AP655" s="323">
        <f t="shared" si="257"/>
        <v>0.8850159697700245</v>
      </c>
      <c r="AQ655" s="323">
        <f t="shared" si="258"/>
        <v>0.21771594021775628</v>
      </c>
      <c r="AR655" s="323">
        <f>Modelling_new[[#This Row],[Target E_Grid MTD
MWh]]/Modelling_new[[#This Row],[MTD DC Capcity]]/(24*CG655)</f>
        <v>0.19565689311866172</v>
      </c>
      <c r="AS655" s="323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627</v>
      </c>
      <c r="BI655" s="3" t="s">
        <v>627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323">
        <f>BM655/Modelling[[#This Row],[Comisined DC ]]/BP655</f>
        <v>0.71307421726835596</v>
      </c>
      <c r="BT655" s="337">
        <f>BN655/BQ655/Modelling[[#This Row],[Comisined DC ]]</f>
        <v>0.71307421726835596</v>
      </c>
      <c r="BU655" s="337">
        <f>BO655/BR655/Modelling[[#This Row],[Comisined DC ]]</f>
        <v>0.74737971819713989</v>
      </c>
      <c r="BV655" s="323">
        <f>BM655/(24*Modelling[[#This Row],[Comisined DC ]])</f>
        <v>0.1925492073242106</v>
      </c>
      <c r="BW655" s="323">
        <f>Modelling[[#This Row],[Target E_Grid MTD
MWh]]/Modelling[[#This Row],[MTD DC Capcity]]/(24*CG655)</f>
        <v>0.19254920732421071</v>
      </c>
      <c r="BX655" s="338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3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627</v>
      </c>
      <c r="F656" s="3" t="s">
        <v>627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323">
        <f t="shared" si="247"/>
        <v>0.7002678729073224</v>
      </c>
      <c r="Q656" s="337">
        <f t="shared" si="248"/>
        <v>0.70026787290732295</v>
      </c>
      <c r="R656" s="337">
        <f t="shared" si="249"/>
        <v>0.69403210492888645</v>
      </c>
      <c r="S656" s="323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338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627</v>
      </c>
      <c r="AD656" s="3" t="s">
        <v>627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323">
        <f t="shared" si="255"/>
        <v>0.80627505984076986</v>
      </c>
      <c r="AO656" s="323">
        <f t="shared" si="256"/>
        <v>0.80627505984076986</v>
      </c>
      <c r="AP656" s="323">
        <f t="shared" si="257"/>
        <v>0.88468380010543146</v>
      </c>
      <c r="AQ656" s="323">
        <f t="shared" si="258"/>
        <v>0.21771594021775628</v>
      </c>
      <c r="AR656" s="323">
        <f>Modelling_new[[#This Row],[Target E_Grid MTD
MWh]]/Modelling_new[[#This Row],[MTD DC Capcity]]/(24*CG656)</f>
        <v>0.19565689311866169</v>
      </c>
      <c r="AS656" s="323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627</v>
      </c>
      <c r="BI656" s="3" t="s">
        <v>627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323">
        <f>BM656/Modelling[[#This Row],[Comisined DC ]]/BP656</f>
        <v>0.71307421726835596</v>
      </c>
      <c r="BT656" s="337">
        <f>BN656/BQ656/Modelling[[#This Row],[Comisined DC ]]</f>
        <v>0.71307421726835618</v>
      </c>
      <c r="BU656" s="337">
        <f>BO656/BR656/Modelling[[#This Row],[Comisined DC ]]</f>
        <v>0.74723499994651965</v>
      </c>
      <c r="BV656" s="323">
        <f>BM656/(24*Modelling[[#This Row],[Comisined DC ]])</f>
        <v>0.1925492073242106</v>
      </c>
      <c r="BW656" s="323">
        <f>Modelling[[#This Row],[Target E_Grid MTD
MWh]]/Modelling[[#This Row],[MTD DC Capcity]]/(24*CG656)</f>
        <v>0.19254920732421074</v>
      </c>
      <c r="BX656" s="338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3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627</v>
      </c>
      <c r="F657" s="3" t="s">
        <v>627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323">
        <f t="shared" si="247"/>
        <v>0.7002678729073224</v>
      </c>
      <c r="Q657" s="337">
        <f t="shared" si="248"/>
        <v>0.70026787290732295</v>
      </c>
      <c r="R657" s="337">
        <f t="shared" si="249"/>
        <v>0.69405830010135883</v>
      </c>
      <c r="S657" s="323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338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627</v>
      </c>
      <c r="AD657" s="3" t="s">
        <v>627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323">
        <f t="shared" si="255"/>
        <v>0.80627505984076986</v>
      </c>
      <c r="AO657" s="323">
        <f t="shared" si="256"/>
        <v>0.80627505984076986</v>
      </c>
      <c r="AP657" s="323">
        <f t="shared" si="257"/>
        <v>0.88435442119305474</v>
      </c>
      <c r="AQ657" s="323">
        <f t="shared" si="258"/>
        <v>0.21771594021775628</v>
      </c>
      <c r="AR657" s="323">
        <f>Modelling_new[[#This Row],[Target E_Grid MTD
MWh]]/Modelling_new[[#This Row],[MTD DC Capcity]]/(24*CG657)</f>
        <v>0.19565689311866169</v>
      </c>
      <c r="AS657" s="323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627</v>
      </c>
      <c r="BI657" s="3" t="s">
        <v>627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323">
        <f>BM657/Modelling[[#This Row],[Comisined DC ]]/BP657</f>
        <v>0.71307421726835596</v>
      </c>
      <c r="BT657" s="337">
        <f>BN657/BQ657/Modelling[[#This Row],[Comisined DC ]]</f>
        <v>0.71307421726835596</v>
      </c>
      <c r="BU657" s="337">
        <f>BO657/BR657/Modelling[[#This Row],[Comisined DC ]]</f>
        <v>0.74709149755882032</v>
      </c>
      <c r="BV657" s="323">
        <f>BM657/(24*Modelling[[#This Row],[Comisined DC ]])</f>
        <v>0.1925492073242106</v>
      </c>
      <c r="BW657" s="323">
        <f>Modelling[[#This Row],[Target E_Grid MTD
MWh]]/Modelling[[#This Row],[MTD DC Capcity]]/(24*CG657)</f>
        <v>0.19254920732421074</v>
      </c>
      <c r="BX657" s="338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3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627</v>
      </c>
      <c r="F658" s="3" t="s">
        <v>627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323">
        <f t="shared" si="247"/>
        <v>0.7002678729073224</v>
      </c>
      <c r="Q658" s="337">
        <f t="shared" si="248"/>
        <v>0.70026787290732295</v>
      </c>
      <c r="R658" s="337">
        <f t="shared" si="249"/>
        <v>0.69408427611346735</v>
      </c>
      <c r="S658" s="323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338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627</v>
      </c>
      <c r="AD658" s="3" t="s">
        <v>627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323">
        <f t="shared" si="255"/>
        <v>0.80627505984076986</v>
      </c>
      <c r="AO658" s="323">
        <f t="shared" si="256"/>
        <v>0.80627505984076986</v>
      </c>
      <c r="AP658" s="323">
        <f t="shared" si="257"/>
        <v>0.8840277980098995</v>
      </c>
      <c r="AQ658" s="323">
        <f t="shared" si="258"/>
        <v>0.21771594021775628</v>
      </c>
      <c r="AR658" s="323">
        <f>Modelling_new[[#This Row],[Target E_Grid MTD
MWh]]/Modelling_new[[#This Row],[MTD DC Capcity]]/(24*CG658)</f>
        <v>0.19565689311866169</v>
      </c>
      <c r="AS658" s="323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627</v>
      </c>
      <c r="BI658" s="3" t="s">
        <v>627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323">
        <f>BM658/Modelling[[#This Row],[Comisined DC ]]/BP658</f>
        <v>0.71307421726835596</v>
      </c>
      <c r="BT658" s="337">
        <f>BN658/BQ658/Modelling[[#This Row],[Comisined DC ]]</f>
        <v>0.71307421726835596</v>
      </c>
      <c r="BU658" s="337">
        <f>BO658/BR658/Modelling[[#This Row],[Comisined DC ]]</f>
        <v>0.74694919577537433</v>
      </c>
      <c r="BV658" s="323">
        <f>BM658/(24*Modelling[[#This Row],[Comisined DC ]])</f>
        <v>0.1925492073242106</v>
      </c>
      <c r="BW658" s="323">
        <f>Modelling[[#This Row],[Target E_Grid MTD
MWh]]/Modelling[[#This Row],[MTD DC Capcity]]/(24*CG658)</f>
        <v>0.19254920732421071</v>
      </c>
      <c r="BX658" s="338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3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627</v>
      </c>
      <c r="F659" s="3" t="s">
        <v>627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323">
        <f t="shared" si="247"/>
        <v>0.6946387332416083</v>
      </c>
      <c r="Q659" s="337">
        <f t="shared" si="248"/>
        <v>0.6946387332416083</v>
      </c>
      <c r="R659" s="337">
        <f t="shared" si="249"/>
        <v>0.69408669575753756</v>
      </c>
      <c r="S659" s="323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338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627</v>
      </c>
      <c r="AD659" s="3" t="s">
        <v>627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323">
        <f t="shared" si="255"/>
        <v>0.78678239221549962</v>
      </c>
      <c r="AO659" s="323">
        <f t="shared" si="256"/>
        <v>0.78678239221549973</v>
      </c>
      <c r="AP659" s="323">
        <f t="shared" si="257"/>
        <v>0.88360342025815697</v>
      </c>
      <c r="AQ659" s="323">
        <f t="shared" si="258"/>
        <v>0.22260442682978857</v>
      </c>
      <c r="AR659" s="323">
        <f>Modelling_new[[#This Row],[Target E_Grid MTD
MWh]]/Modelling_new[[#This Row],[MTD DC Capcity]]/(24*CG659)</f>
        <v>0.20005007673951095</v>
      </c>
      <c r="AS659" s="323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627</v>
      </c>
      <c r="BI659" s="3" t="s">
        <v>627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323">
        <f>BM659/Modelling[[#This Row],[Comisined DC ]]/BP659</f>
        <v>0.70118360819178038</v>
      </c>
      <c r="BT659" s="337">
        <f>BN659/BQ659/Modelling[[#This Row],[Comisined DC ]]</f>
        <v>0.70118360819178038</v>
      </c>
      <c r="BU659" s="337">
        <f>BO659/BR659/Modelling[[#This Row],[Comisined DC ]]</f>
        <v>0.74674947531550029</v>
      </c>
      <c r="BV659" s="323">
        <f>BM659/(24*Modelling[[#This Row],[Comisined DC ]])</f>
        <v>0.19838595366178732</v>
      </c>
      <c r="BW659" s="323">
        <f>Modelling[[#This Row],[Target E_Grid MTD
MWh]]/Modelling[[#This Row],[MTD DC Capcity]]/(24*CG659)</f>
        <v>0.19838595366178732</v>
      </c>
      <c r="BX659" s="338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3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627</v>
      </c>
      <c r="F660" s="3" t="s">
        <v>627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323">
        <f t="shared" si="247"/>
        <v>0.6946387332416083</v>
      </c>
      <c r="Q660" s="337">
        <f t="shared" si="248"/>
        <v>0.6946387332416083</v>
      </c>
      <c r="R660" s="337">
        <f t="shared" si="249"/>
        <v>0.69408909437477473</v>
      </c>
      <c r="S660" s="323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338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627</v>
      </c>
      <c r="AD660" s="3" t="s">
        <v>627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323">
        <f t="shared" si="255"/>
        <v>0.78678239221549962</v>
      </c>
      <c r="AO660" s="323">
        <f t="shared" si="256"/>
        <v>0.78678239221549973</v>
      </c>
      <c r="AP660" s="323">
        <f t="shared" si="257"/>
        <v>0.88318273037116946</v>
      </c>
      <c r="AQ660" s="323">
        <f t="shared" si="258"/>
        <v>0.22260442682978857</v>
      </c>
      <c r="AR660" s="323">
        <f>Modelling_new[[#This Row],[Target E_Grid MTD
MWh]]/Modelling_new[[#This Row],[MTD DC Capcity]]/(24*CG660)</f>
        <v>0.20005007673951095</v>
      </c>
      <c r="AS660" s="323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627</v>
      </c>
      <c r="BI660" s="3" t="s">
        <v>627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323">
        <f>BM660/Modelling[[#This Row],[Comisined DC ]]/BP660</f>
        <v>0.70118360819178038</v>
      </c>
      <c r="BT660" s="337">
        <f>BN660/BQ660/Modelling[[#This Row],[Comisined DC ]]</f>
        <v>0.70118360819178038</v>
      </c>
      <c r="BU660" s="337">
        <f>BO660/BR660/Modelling[[#This Row],[Comisined DC ]]</f>
        <v>0.74655149043681945</v>
      </c>
      <c r="BV660" s="323">
        <f>BM660/(24*Modelling[[#This Row],[Comisined DC ]])</f>
        <v>0.19838595366178732</v>
      </c>
      <c r="BW660" s="323">
        <f>Modelling[[#This Row],[Target E_Grid MTD
MWh]]/Modelling[[#This Row],[MTD DC Capcity]]/(24*CG660)</f>
        <v>0.19838595366178732</v>
      </c>
      <c r="BX660" s="338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3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627</v>
      </c>
      <c r="F661" s="3" t="s">
        <v>627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323">
        <f t="shared" si="247"/>
        <v>0.6946387332416083</v>
      </c>
      <c r="Q661" s="337">
        <f t="shared" si="248"/>
        <v>0.6946387332416083</v>
      </c>
      <c r="R661" s="337">
        <f t="shared" si="249"/>
        <v>0.69409147223807965</v>
      </c>
      <c r="S661" s="323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338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627</v>
      </c>
      <c r="AD661" s="3" t="s">
        <v>627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323">
        <f t="shared" si="255"/>
        <v>0.78678239221549962</v>
      </c>
      <c r="AO661" s="323">
        <f t="shared" si="256"/>
        <v>0.7867823922154995</v>
      </c>
      <c r="AP661" s="323">
        <f t="shared" si="257"/>
        <v>0.88276568048530024</v>
      </c>
      <c r="AQ661" s="323">
        <f t="shared" si="258"/>
        <v>0.22260442682978857</v>
      </c>
      <c r="AR661" s="323">
        <f>Modelling_new[[#This Row],[Target E_Grid MTD
MWh]]/Modelling_new[[#This Row],[MTD DC Capcity]]/(24*CG661)</f>
        <v>0.20005007673951092</v>
      </c>
      <c r="AS661" s="323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627</v>
      </c>
      <c r="BI661" s="3" t="s">
        <v>627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323">
        <f>BM661/Modelling[[#This Row],[Comisined DC ]]/BP661</f>
        <v>0.70118360819178038</v>
      </c>
      <c r="BT661" s="337">
        <f>BN661/BQ661/Modelling[[#This Row],[Comisined DC ]]</f>
        <v>0.70118360819178038</v>
      </c>
      <c r="BU661" s="337">
        <f>BO661/BR661/Modelling[[#This Row],[Comisined DC ]]</f>
        <v>0.74635521861376986</v>
      </c>
      <c r="BV661" s="323">
        <f>BM661/(24*Modelling[[#This Row],[Comisined DC ]])</f>
        <v>0.19838595366178732</v>
      </c>
      <c r="BW661" s="323">
        <f>Modelling[[#This Row],[Target E_Grid MTD
MWh]]/Modelling[[#This Row],[MTD DC Capcity]]/(24*CG661)</f>
        <v>0.19838595366178732</v>
      </c>
      <c r="BX661" s="338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3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627</v>
      </c>
      <c r="F662" s="3" t="s">
        <v>627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323">
        <f t="shared" si="247"/>
        <v>0.6946387332416083</v>
      </c>
      <c r="Q662" s="337">
        <f t="shared" si="248"/>
        <v>0.6946387332416083</v>
      </c>
      <c r="R662" s="337">
        <f t="shared" si="249"/>
        <v>0.69409382961565069</v>
      </c>
      <c r="S662" s="323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338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627</v>
      </c>
      <c r="AD662" s="3" t="s">
        <v>627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323">
        <f t="shared" si="255"/>
        <v>0.78678239221549962</v>
      </c>
      <c r="AO662" s="323">
        <f t="shared" si="256"/>
        <v>0.78678239221549973</v>
      </c>
      <c r="AP662" s="323">
        <f t="shared" si="257"/>
        <v>0.88235222356162146</v>
      </c>
      <c r="AQ662" s="323">
        <f t="shared" si="258"/>
        <v>0.22260442682978857</v>
      </c>
      <c r="AR662" s="323">
        <f>Modelling_new[[#This Row],[Target E_Grid MTD
MWh]]/Modelling_new[[#This Row],[MTD DC Capcity]]/(24*CG662)</f>
        <v>0.20005007673951095</v>
      </c>
      <c r="AS662" s="323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627</v>
      </c>
      <c r="BI662" s="3" t="s">
        <v>627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323">
        <f>BM662/Modelling[[#This Row],[Comisined DC ]]/BP662</f>
        <v>0.70118360819178038</v>
      </c>
      <c r="BT662" s="337">
        <f>BN662/BQ662/Modelling[[#This Row],[Comisined DC ]]</f>
        <v>0.70118360819178038</v>
      </c>
      <c r="BU662" s="337">
        <f>BO662/BR662/Modelling[[#This Row],[Comisined DC ]]</f>
        <v>0.74616063770891294</v>
      </c>
      <c r="BV662" s="323">
        <f>BM662/(24*Modelling[[#This Row],[Comisined DC ]])</f>
        <v>0.19838595366178732</v>
      </c>
      <c r="BW662" s="323">
        <f>Modelling[[#This Row],[Target E_Grid MTD
MWh]]/Modelling[[#This Row],[MTD DC Capcity]]/(24*CG662)</f>
        <v>0.19838595366178732</v>
      </c>
      <c r="BX662" s="338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3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627</v>
      </c>
      <c r="F663" s="3" t="s">
        <v>627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323">
        <f t="shared" si="247"/>
        <v>0.6946387332416083</v>
      </c>
      <c r="Q663" s="337">
        <f t="shared" si="248"/>
        <v>0.6946387332416083</v>
      </c>
      <c r="R663" s="337">
        <f t="shared" si="249"/>
        <v>0.69409616677108521</v>
      </c>
      <c r="S663" s="323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338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627</v>
      </c>
      <c r="AD663" s="3" t="s">
        <v>627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323">
        <f t="shared" si="255"/>
        <v>0.78678239221549962</v>
      </c>
      <c r="AO663" s="323">
        <f t="shared" si="256"/>
        <v>0.7867823922154995</v>
      </c>
      <c r="AP663" s="323">
        <f t="shared" si="257"/>
        <v>0.88194231336822704</v>
      </c>
      <c r="AQ663" s="323">
        <f t="shared" si="258"/>
        <v>0.22260442682978857</v>
      </c>
      <c r="AR663" s="323">
        <f>Modelling_new[[#This Row],[Target E_Grid MTD
MWh]]/Modelling_new[[#This Row],[MTD DC Capcity]]/(24*CG663)</f>
        <v>0.20005007673951095</v>
      </c>
      <c r="AS663" s="323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627</v>
      </c>
      <c r="BI663" s="3" t="s">
        <v>627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323">
        <f>BM663/Modelling[[#This Row],[Comisined DC ]]/BP663</f>
        <v>0.70118360819178038</v>
      </c>
      <c r="BT663" s="337">
        <f>BN663/BQ663/Modelling[[#This Row],[Comisined DC ]]</f>
        <v>0.70118360819178016</v>
      </c>
      <c r="BU663" s="337">
        <f>BO663/BR663/Modelling[[#This Row],[Comisined DC ]]</f>
        <v>0.74596772596461036</v>
      </c>
      <c r="BV663" s="323">
        <f>BM663/(24*Modelling[[#This Row],[Comisined DC ]])</f>
        <v>0.19838595366178732</v>
      </c>
      <c r="BW663" s="323">
        <f>Modelling[[#This Row],[Target E_Grid MTD
MWh]]/Modelling[[#This Row],[MTD DC Capcity]]/(24*CG663)</f>
        <v>0.1983859536617873</v>
      </c>
      <c r="BX663" s="338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3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627</v>
      </c>
      <c r="F664" s="3" t="s">
        <v>627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323">
        <f t="shared" si="247"/>
        <v>0.6946387332416083</v>
      </c>
      <c r="Q664" s="337">
        <f t="shared" si="248"/>
        <v>0.6946387332416083</v>
      </c>
      <c r="R664" s="337">
        <f t="shared" si="249"/>
        <v>0.69409848396347695</v>
      </c>
      <c r="S664" s="323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338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627</v>
      </c>
      <c r="AD664" s="3" t="s">
        <v>627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323">
        <f t="shared" si="255"/>
        <v>0.78678239221549962</v>
      </c>
      <c r="AO664" s="323">
        <f t="shared" si="256"/>
        <v>0.7867823922154995</v>
      </c>
      <c r="AP664" s="323">
        <f t="shared" si="257"/>
        <v>0.88153590446299912</v>
      </c>
      <c r="AQ664" s="323">
        <f t="shared" si="258"/>
        <v>0.22260442682978857</v>
      </c>
      <c r="AR664" s="323">
        <f>Modelling_new[[#This Row],[Target E_Grid MTD
MWh]]/Modelling_new[[#This Row],[MTD DC Capcity]]/(24*CG664)</f>
        <v>0.20005007673951097</v>
      </c>
      <c r="AS664" s="323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627</v>
      </c>
      <c r="BI664" s="3" t="s">
        <v>627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323">
        <f>BM664/Modelling[[#This Row],[Comisined DC ]]/BP664</f>
        <v>0.70118360819178038</v>
      </c>
      <c r="BT664" s="337">
        <f>BN664/BQ664/Modelling[[#This Row],[Comisined DC ]]</f>
        <v>0.70118360819178038</v>
      </c>
      <c r="BU664" s="337">
        <f>BO664/BR664/Modelling[[#This Row],[Comisined DC ]]</f>
        <v>0.74577646199491399</v>
      </c>
      <c r="BV664" s="323">
        <f>BM664/(24*Modelling[[#This Row],[Comisined DC ]])</f>
        <v>0.19838595366178732</v>
      </c>
      <c r="BW664" s="323">
        <f>Modelling[[#This Row],[Target E_Grid MTD
MWh]]/Modelling[[#This Row],[MTD DC Capcity]]/(24*CG664)</f>
        <v>0.19838595366178732</v>
      </c>
      <c r="BX664" s="338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3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627</v>
      </c>
      <c r="F665" s="3" t="s">
        <v>627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323">
        <f t="shared" si="247"/>
        <v>0.6946387332416083</v>
      </c>
      <c r="Q665" s="337">
        <f t="shared" si="248"/>
        <v>0.6946387332416083</v>
      </c>
      <c r="R665" s="337">
        <f t="shared" si="249"/>
        <v>0.69410078144751286</v>
      </c>
      <c r="S665" s="323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338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627</v>
      </c>
      <c r="AD665" s="3" t="s">
        <v>627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323">
        <f t="shared" si="255"/>
        <v>0.78678239221549962</v>
      </c>
      <c r="AO665" s="323">
        <f t="shared" si="256"/>
        <v>0.7867823922154995</v>
      </c>
      <c r="AP665" s="323">
        <f t="shared" si="257"/>
        <v>0.88113295217681598</v>
      </c>
      <c r="AQ665" s="323">
        <f t="shared" si="258"/>
        <v>0.22260442682978857</v>
      </c>
      <c r="AR665" s="323">
        <f>Modelling_new[[#This Row],[Target E_Grid MTD
MWh]]/Modelling_new[[#This Row],[MTD DC Capcity]]/(24*CG665)</f>
        <v>0.20005007673951097</v>
      </c>
      <c r="AS665" s="323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627</v>
      </c>
      <c r="BI665" s="3" t="s">
        <v>627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323">
        <f>BM665/Modelling[[#This Row],[Comisined DC ]]/BP665</f>
        <v>0.70118360819178038</v>
      </c>
      <c r="BT665" s="337">
        <f>BN665/BQ665/Modelling[[#This Row],[Comisined DC ]]</f>
        <v>0.70118360819178038</v>
      </c>
      <c r="BU665" s="337">
        <f>BO665/BR665/Modelling[[#This Row],[Comisined DC ]]</f>
        <v>0.7455868247776628</v>
      </c>
      <c r="BV665" s="323">
        <f>BM665/(24*Modelling[[#This Row],[Comisined DC ]])</f>
        <v>0.19838595366178732</v>
      </c>
      <c r="BW665" s="323">
        <f>Modelling[[#This Row],[Target E_Grid MTD
MWh]]/Modelling[[#This Row],[MTD DC Capcity]]/(24*CG665)</f>
        <v>0.19838595366178732</v>
      </c>
      <c r="BX665" s="338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3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627</v>
      </c>
      <c r="F666" s="3" t="s">
        <v>627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323">
        <f t="shared" si="247"/>
        <v>0.6946387332416083</v>
      </c>
      <c r="Q666" s="337">
        <f t="shared" si="248"/>
        <v>0.6946387332416083</v>
      </c>
      <c r="R666" s="337">
        <f t="shared" si="249"/>
        <v>0.69410305947356554</v>
      </c>
      <c r="S666" s="323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338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627</v>
      </c>
      <c r="AD666" s="3" t="s">
        <v>627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323">
        <f t="shared" si="255"/>
        <v>0.78678239221549962</v>
      </c>
      <c r="AO666" s="323">
        <f t="shared" si="256"/>
        <v>0.78678239221549973</v>
      </c>
      <c r="AP666" s="323">
        <f t="shared" si="257"/>
        <v>0.88073341259718363</v>
      </c>
      <c r="AQ666" s="323">
        <f t="shared" si="258"/>
        <v>0.22260442682978857</v>
      </c>
      <c r="AR666" s="323">
        <f>Modelling_new[[#This Row],[Target E_Grid MTD
MWh]]/Modelling_new[[#This Row],[MTD DC Capcity]]/(24*CG666)</f>
        <v>0.200050076739511</v>
      </c>
      <c r="AS666" s="323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627</v>
      </c>
      <c r="BI666" s="3" t="s">
        <v>627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323">
        <f>BM666/Modelling[[#This Row],[Comisined DC ]]/BP666</f>
        <v>0.70118360819178038</v>
      </c>
      <c r="BT666" s="337">
        <f>BN666/BQ666/Modelling[[#This Row],[Comisined DC ]]</f>
        <v>0.70118360819178038</v>
      </c>
      <c r="BU666" s="337">
        <f>BO666/BR666/Modelling[[#This Row],[Comisined DC ]]</f>
        <v>0.74539879364677897</v>
      </c>
      <c r="BV666" s="323">
        <f>BM666/(24*Modelling[[#This Row],[Comisined DC ]])</f>
        <v>0.19838595366178732</v>
      </c>
      <c r="BW666" s="323">
        <f>Modelling[[#This Row],[Target E_Grid MTD
MWh]]/Modelling[[#This Row],[MTD DC Capcity]]/(24*CG666)</f>
        <v>0.19838595366178732</v>
      </c>
      <c r="BX666" s="338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3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627</v>
      </c>
      <c r="F667" s="3" t="s">
        <v>627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323">
        <f t="shared" si="247"/>
        <v>0.6946387332416083</v>
      </c>
      <c r="Q667" s="337">
        <f t="shared" si="248"/>
        <v>0.6946387332416083</v>
      </c>
      <c r="R667" s="337">
        <f t="shared" si="249"/>
        <v>0.69410531828778466</v>
      </c>
      <c r="S667" s="323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338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627</v>
      </c>
      <c r="AD667" s="3" t="s">
        <v>627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323">
        <f t="shared" si="255"/>
        <v>0.78678239221549962</v>
      </c>
      <c r="AO667" s="323">
        <f t="shared" si="256"/>
        <v>0.78678239221549973</v>
      </c>
      <c r="AP667" s="323">
        <f t="shared" si="257"/>
        <v>0.88033724255228474</v>
      </c>
      <c r="AQ667" s="323">
        <f t="shared" si="258"/>
        <v>0.22260442682978857</v>
      </c>
      <c r="AR667" s="323">
        <f>Modelling_new[[#This Row],[Target E_Grid MTD
MWh]]/Modelling_new[[#This Row],[MTD DC Capcity]]/(24*CG667)</f>
        <v>0.200050076739511</v>
      </c>
      <c r="AS667" s="323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627</v>
      </c>
      <c r="BI667" s="3" t="s">
        <v>627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323">
        <f>BM667/Modelling[[#This Row],[Comisined DC ]]/BP667</f>
        <v>0.70118360819178038</v>
      </c>
      <c r="BT667" s="337">
        <f>BN667/BQ667/Modelling[[#This Row],[Comisined DC ]]</f>
        <v>0.70118360819178038</v>
      </c>
      <c r="BU667" s="337">
        <f>BO667/BR667/Modelling[[#This Row],[Comisined DC ]]</f>
        <v>0.74521234828476213</v>
      </c>
      <c r="BV667" s="323">
        <f>BM667/(24*Modelling[[#This Row],[Comisined DC ]])</f>
        <v>0.19838595366178732</v>
      </c>
      <c r="BW667" s="323">
        <f>Modelling[[#This Row],[Target E_Grid MTD
MWh]]/Modelling[[#This Row],[MTD DC Capcity]]/(24*CG667)</f>
        <v>0.1983859536617873</v>
      </c>
      <c r="BX667" s="338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3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627</v>
      </c>
      <c r="F668" s="3" t="s">
        <v>627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323">
        <f t="shared" si="247"/>
        <v>0.6946387332416083</v>
      </c>
      <c r="Q668" s="337">
        <f t="shared" si="248"/>
        <v>0.6946387332416083</v>
      </c>
      <c r="R668" s="337">
        <f t="shared" si="249"/>
        <v>0.69410755813218539</v>
      </c>
      <c r="S668" s="323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338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627</v>
      </c>
      <c r="AD668" s="3" t="s">
        <v>627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323">
        <f t="shared" si="255"/>
        <v>0.78678239221549962</v>
      </c>
      <c r="AO668" s="323">
        <f t="shared" si="256"/>
        <v>0.7867823922154995</v>
      </c>
      <c r="AP668" s="323">
        <f t="shared" si="257"/>
        <v>0.87994439959542636</v>
      </c>
      <c r="AQ668" s="323">
        <f t="shared" si="258"/>
        <v>0.22260442682978857</v>
      </c>
      <c r="AR668" s="323">
        <f>Modelling_new[[#This Row],[Target E_Grid MTD
MWh]]/Modelling_new[[#This Row],[MTD DC Capcity]]/(24*CG668)</f>
        <v>0.20005007673951097</v>
      </c>
      <c r="AS668" s="323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627</v>
      </c>
      <c r="BI668" s="3" t="s">
        <v>627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323">
        <f>BM668/Modelling[[#This Row],[Comisined DC ]]/BP668</f>
        <v>0.70118360819178038</v>
      </c>
      <c r="BT668" s="337">
        <f>BN668/BQ668/Modelling[[#This Row],[Comisined DC ]]</f>
        <v>0.70118360819178016</v>
      </c>
      <c r="BU668" s="337">
        <f>BO668/BR668/Modelling[[#This Row],[Comisined DC ]]</f>
        <v>0.74502746871536918</v>
      </c>
      <c r="BV668" s="323">
        <f>BM668/(24*Modelling[[#This Row],[Comisined DC ]])</f>
        <v>0.19838595366178732</v>
      </c>
      <c r="BW668" s="323">
        <f>Modelling[[#This Row],[Target E_Grid MTD
MWh]]/Modelling[[#This Row],[MTD DC Capcity]]/(24*CG668)</f>
        <v>0.1983859536617873</v>
      </c>
      <c r="BX668" s="338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3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627</v>
      </c>
      <c r="F669" s="3" t="s">
        <v>627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323">
        <f t="shared" si="247"/>
        <v>0.6946387332416083</v>
      </c>
      <c r="Q669" s="337">
        <f t="shared" si="248"/>
        <v>0.69463873324160819</v>
      </c>
      <c r="R669" s="337">
        <f t="shared" si="249"/>
        <v>0.69410977924473516</v>
      </c>
      <c r="S669" s="323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338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627</v>
      </c>
      <c r="AD669" s="3" t="s">
        <v>627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323">
        <f t="shared" si="255"/>
        <v>0.78678239221549962</v>
      </c>
      <c r="AO669" s="323">
        <f t="shared" si="256"/>
        <v>0.78678239221549939</v>
      </c>
      <c r="AP669" s="323">
        <f t="shared" si="257"/>
        <v>0.87955484198988121</v>
      </c>
      <c r="AQ669" s="323">
        <f t="shared" si="258"/>
        <v>0.22260442682978857</v>
      </c>
      <c r="AR669" s="323">
        <f>Modelling_new[[#This Row],[Target E_Grid MTD
MWh]]/Modelling_new[[#This Row],[MTD DC Capcity]]/(24*CG669)</f>
        <v>0.20005007673951097</v>
      </c>
      <c r="AS669" s="323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627</v>
      </c>
      <c r="BI669" s="3" t="s">
        <v>627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323">
        <f>BM669/Modelling[[#This Row],[Comisined DC ]]/BP669</f>
        <v>0.70118360819178038</v>
      </c>
      <c r="BT669" s="337">
        <f>BN669/BQ669/Modelling[[#This Row],[Comisined DC ]]</f>
        <v>0.70118360819178038</v>
      </c>
      <c r="BU669" s="337">
        <f>BO669/BR669/Modelling[[#This Row],[Comisined DC ]]</f>
        <v>0.7448441352964813</v>
      </c>
      <c r="BV669" s="323">
        <f>BM669/(24*Modelling[[#This Row],[Comisined DC ]])</f>
        <v>0.19838595366178732</v>
      </c>
      <c r="BW669" s="323">
        <f>Modelling[[#This Row],[Target E_Grid MTD
MWh]]/Modelling[[#This Row],[MTD DC Capcity]]/(24*CG669)</f>
        <v>0.1983859536617873</v>
      </c>
      <c r="BX669" s="338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3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627</v>
      </c>
      <c r="F670" s="3" t="s">
        <v>627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323">
        <f t="shared" si="247"/>
        <v>0.6946387332416083</v>
      </c>
      <c r="Q670" s="337">
        <f t="shared" si="248"/>
        <v>0.69463873324160819</v>
      </c>
      <c r="R670" s="337">
        <f t="shared" si="249"/>
        <v>0.69411198185943757</v>
      </c>
      <c r="S670" s="323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338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627</v>
      </c>
      <c r="AD670" s="3" t="s">
        <v>627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323">
        <f t="shared" si="255"/>
        <v>0.78678239221549962</v>
      </c>
      <c r="AO670" s="323">
        <f t="shared" si="256"/>
        <v>0.78678239221549939</v>
      </c>
      <c r="AP670" s="323">
        <f t="shared" si="257"/>
        <v>0.87916852869410378</v>
      </c>
      <c r="AQ670" s="323">
        <f t="shared" si="258"/>
        <v>0.22260442682978857</v>
      </c>
      <c r="AR670" s="323">
        <f>Modelling_new[[#This Row],[Target E_Grid MTD
MWh]]/Modelling_new[[#This Row],[MTD DC Capcity]]/(24*CG670)</f>
        <v>0.20005007673951095</v>
      </c>
      <c r="AS670" s="323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627</v>
      </c>
      <c r="BI670" s="3" t="s">
        <v>627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323">
        <f>BM670/Modelling[[#This Row],[Comisined DC ]]/BP670</f>
        <v>0.70118360819178038</v>
      </c>
      <c r="BT670" s="337">
        <f>BN670/BQ670/Modelling[[#This Row],[Comisined DC ]]</f>
        <v>0.70118360819178005</v>
      </c>
      <c r="BU670" s="337">
        <f>BO670/BR670/Modelling[[#This Row],[Comisined DC ]]</f>
        <v>0.74466232871314519</v>
      </c>
      <c r="BV670" s="323">
        <f>BM670/(24*Modelling[[#This Row],[Comisined DC ]])</f>
        <v>0.19838595366178732</v>
      </c>
      <c r="BW670" s="323">
        <f>Modelling[[#This Row],[Target E_Grid MTD
MWh]]/Modelling[[#This Row],[MTD DC Capcity]]/(24*CG670)</f>
        <v>0.19838595366178727</v>
      </c>
      <c r="BX670" s="338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3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627</v>
      </c>
      <c r="F671" s="3" t="s">
        <v>627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323">
        <f t="shared" si="247"/>
        <v>0.6946387332416083</v>
      </c>
      <c r="Q671" s="337">
        <f t="shared" si="248"/>
        <v>0.69463873324160808</v>
      </c>
      <c r="R671" s="337">
        <f t="shared" si="249"/>
        <v>0.69411416620641464</v>
      </c>
      <c r="S671" s="323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338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627</v>
      </c>
      <c r="AD671" s="3" t="s">
        <v>627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323">
        <f t="shared" si="255"/>
        <v>0.78678239221549962</v>
      </c>
      <c r="AO671" s="323">
        <f t="shared" si="256"/>
        <v>0.78678239221549917</v>
      </c>
      <c r="AP671" s="323">
        <f t="shared" si="257"/>
        <v>0.87878541934731791</v>
      </c>
      <c r="AQ671" s="323">
        <f t="shared" si="258"/>
        <v>0.22260442682978857</v>
      </c>
      <c r="AR671" s="323">
        <f>Modelling_new[[#This Row],[Target E_Grid MTD
MWh]]/Modelling_new[[#This Row],[MTD DC Capcity]]/(24*CG671)</f>
        <v>0.20005007673951092</v>
      </c>
      <c r="AS671" s="323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627</v>
      </c>
      <c r="BI671" s="3" t="s">
        <v>627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323">
        <f>BM671/Modelling[[#This Row],[Comisined DC ]]/BP671</f>
        <v>0.70118360819178038</v>
      </c>
      <c r="BT671" s="337">
        <f>BN671/BQ671/Modelling[[#This Row],[Comisined DC ]]</f>
        <v>0.70118360819178016</v>
      </c>
      <c r="BU671" s="337">
        <f>BO671/BR671/Modelling[[#This Row],[Comisined DC ]]</f>
        <v>0.74448202997079138</v>
      </c>
      <c r="BV671" s="323">
        <f>BM671/(24*Modelling[[#This Row],[Comisined DC ]])</f>
        <v>0.19838595366178732</v>
      </c>
      <c r="BW671" s="323">
        <f>Modelling[[#This Row],[Target E_Grid MTD
MWh]]/Modelling[[#This Row],[MTD DC Capcity]]/(24*CG671)</f>
        <v>0.19838595366178735</v>
      </c>
      <c r="BX671" s="338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3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627</v>
      </c>
      <c r="F672" s="3" t="s">
        <v>627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323">
        <f t="shared" si="247"/>
        <v>0.6946387332416083</v>
      </c>
      <c r="Q672" s="337">
        <f t="shared" si="248"/>
        <v>0.69463873324160808</v>
      </c>
      <c r="R672" s="337">
        <f t="shared" si="249"/>
        <v>0.69411633251198723</v>
      </c>
      <c r="S672" s="323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338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627</v>
      </c>
      <c r="AD672" s="3" t="s">
        <v>627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323">
        <f t="shared" si="255"/>
        <v>0.78678239221549962</v>
      </c>
      <c r="AO672" s="323">
        <f t="shared" si="256"/>
        <v>0.78678239221549917</v>
      </c>
      <c r="AP672" s="323">
        <f t="shared" si="257"/>
        <v>0.87840547425545912</v>
      </c>
      <c r="AQ672" s="323">
        <f t="shared" si="258"/>
        <v>0.22260442682978857</v>
      </c>
      <c r="AR672" s="323">
        <f>Modelling_new[[#This Row],[Target E_Grid MTD
MWh]]/Modelling_new[[#This Row],[MTD DC Capcity]]/(24*CG672)</f>
        <v>0.20005007673951089</v>
      </c>
      <c r="AS672" s="323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627</v>
      </c>
      <c r="BI672" s="3" t="s">
        <v>627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323">
        <f>BM672/Modelling[[#This Row],[Comisined DC ]]/BP672</f>
        <v>0.70118360819178038</v>
      </c>
      <c r="BT672" s="337">
        <f>BN672/BQ672/Modelling[[#This Row],[Comisined DC ]]</f>
        <v>0.70118360819178005</v>
      </c>
      <c r="BU672" s="337">
        <f>BO672/BR672/Modelling[[#This Row],[Comisined DC ]]</f>
        <v>0.74430322038861751</v>
      </c>
      <c r="BV672" s="323">
        <f>BM672/(24*Modelling[[#This Row],[Comisined DC ]])</f>
        <v>0.19838595366178732</v>
      </c>
      <c r="BW672" s="323">
        <f>Modelling[[#This Row],[Target E_Grid MTD
MWh]]/Modelling[[#This Row],[MTD DC Capcity]]/(24*CG672)</f>
        <v>0.1983859536617873</v>
      </c>
      <c r="BX672" s="338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3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627</v>
      </c>
      <c r="F673" s="3" t="s">
        <v>627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323">
        <f t="shared" si="247"/>
        <v>0.6946387332416083</v>
      </c>
      <c r="Q673" s="337">
        <f t="shared" si="248"/>
        <v>0.69463873324160808</v>
      </c>
      <c r="R673" s="337">
        <f t="shared" si="249"/>
        <v>0.69411848099875295</v>
      </c>
      <c r="S673" s="323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338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627</v>
      </c>
      <c r="AD673" s="3" t="s">
        <v>627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323">
        <f t="shared" si="255"/>
        <v>0.78678239221549962</v>
      </c>
      <c r="AO673" s="323">
        <f t="shared" si="256"/>
        <v>0.78678239221549906</v>
      </c>
      <c r="AP673" s="323">
        <f t="shared" si="257"/>
        <v>0.87802865437746513</v>
      </c>
      <c r="AQ673" s="323">
        <f t="shared" si="258"/>
        <v>0.22260442682978857</v>
      </c>
      <c r="AR673" s="323">
        <f>Modelling_new[[#This Row],[Target E_Grid MTD
MWh]]/Modelling_new[[#This Row],[MTD DC Capcity]]/(24*CG673)</f>
        <v>0.20005007673951086</v>
      </c>
      <c r="AS673" s="323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627</v>
      </c>
      <c r="BI673" s="3" t="s">
        <v>627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323">
        <f>BM673/Modelling[[#This Row],[Comisined DC ]]/BP673</f>
        <v>0.70118360819178038</v>
      </c>
      <c r="BT673" s="337">
        <f>BN673/BQ673/Modelling[[#This Row],[Comisined DC ]]</f>
        <v>0.70118360819178005</v>
      </c>
      <c r="BU673" s="337">
        <f>BO673/BR673/Modelling[[#This Row],[Comisined DC ]]</f>
        <v>0.7441258815931372</v>
      </c>
      <c r="BV673" s="323">
        <f>BM673/(24*Modelling[[#This Row],[Comisined DC ]])</f>
        <v>0.19838595366178732</v>
      </c>
      <c r="BW673" s="323">
        <f>Modelling[[#This Row],[Target E_Grid MTD
MWh]]/Modelling[[#This Row],[MTD DC Capcity]]/(24*CG673)</f>
        <v>0.19838595366178735</v>
      </c>
      <c r="BX673" s="338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3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627</v>
      </c>
      <c r="F674" s="3" t="s">
        <v>627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323">
        <f t="shared" si="247"/>
        <v>0.6946387332416083</v>
      </c>
      <c r="Q674" s="337">
        <f t="shared" si="248"/>
        <v>0.69463873324160808</v>
      </c>
      <c r="R674" s="337">
        <f t="shared" si="249"/>
        <v>0.69412061188566254</v>
      </c>
      <c r="S674" s="323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338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627</v>
      </c>
      <c r="AD674" s="3" t="s">
        <v>627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323">
        <f t="shared" si="255"/>
        <v>0.78678239221549962</v>
      </c>
      <c r="AO674" s="323">
        <f t="shared" si="256"/>
        <v>0.78678239221549906</v>
      </c>
      <c r="AP674" s="323">
        <f t="shared" si="257"/>
        <v>0.87765492131190215</v>
      </c>
      <c r="AQ674" s="323">
        <f t="shared" si="258"/>
        <v>0.22260442682978857</v>
      </c>
      <c r="AR674" s="323">
        <f>Modelling_new[[#This Row],[Target E_Grid MTD
MWh]]/Modelling_new[[#This Row],[MTD DC Capcity]]/(24*CG674)</f>
        <v>0.20005007673951083</v>
      </c>
      <c r="AS674" s="323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627</v>
      </c>
      <c r="BI674" s="3" t="s">
        <v>627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323">
        <f>BM674/Modelling[[#This Row],[Comisined DC ]]/BP674</f>
        <v>0.70118360819178038</v>
      </c>
      <c r="BT674" s="337">
        <f>BN674/BQ674/Modelling[[#This Row],[Comisined DC ]]</f>
        <v>0.70118360819177994</v>
      </c>
      <c r="BU674" s="337">
        <f>BO674/BR674/Modelling[[#This Row],[Comisined DC ]]</f>
        <v>0.74394999551188556</v>
      </c>
      <c r="BV674" s="323">
        <f>BM674/(24*Modelling[[#This Row],[Comisined DC ]])</f>
        <v>0.19838595366178732</v>
      </c>
      <c r="BW674" s="323">
        <f>Modelling[[#This Row],[Target E_Grid MTD
MWh]]/Modelling[[#This Row],[MTD DC Capcity]]/(24*CG674)</f>
        <v>0.19838595366178732</v>
      </c>
      <c r="BX674" s="338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3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627</v>
      </c>
      <c r="F675" s="3" t="s">
        <v>627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323">
        <f t="shared" si="247"/>
        <v>0.6946387332416083</v>
      </c>
      <c r="Q675" s="337">
        <f t="shared" si="248"/>
        <v>0.69463873324160796</v>
      </c>
      <c r="R675" s="337">
        <f t="shared" si="249"/>
        <v>0.69412272538809405</v>
      </c>
      <c r="S675" s="323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338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627</v>
      </c>
      <c r="AD675" s="3" t="s">
        <v>627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323">
        <f t="shared" si="255"/>
        <v>0.78678239221549962</v>
      </c>
      <c r="AO675" s="323">
        <f t="shared" si="256"/>
        <v>0.78678239221549906</v>
      </c>
      <c r="AP675" s="323">
        <f t="shared" si="257"/>
        <v>0.8772842372839198</v>
      </c>
      <c r="AQ675" s="323">
        <f t="shared" si="258"/>
        <v>0.22260442682978857</v>
      </c>
      <c r="AR675" s="323">
        <f>Modelling_new[[#This Row],[Target E_Grid MTD
MWh]]/Modelling_new[[#This Row],[MTD DC Capcity]]/(24*CG675)</f>
        <v>0.20005007673951086</v>
      </c>
      <c r="AS675" s="323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627</v>
      </c>
      <c r="BI675" s="3" t="s">
        <v>627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323">
        <f>BM675/Modelling[[#This Row],[Comisined DC ]]/BP675</f>
        <v>0.70118360819178038</v>
      </c>
      <c r="BT675" s="337">
        <f>BN675/BQ675/Modelling[[#This Row],[Comisined DC ]]</f>
        <v>0.70118360819177994</v>
      </c>
      <c r="BU675" s="337">
        <f>BO675/BR675/Modelling[[#This Row],[Comisined DC ]]</f>
        <v>0.74377554436727999</v>
      </c>
      <c r="BV675" s="323">
        <f>BM675/(24*Modelling[[#This Row],[Comisined DC ]])</f>
        <v>0.19838595366178732</v>
      </c>
      <c r="BW675" s="323">
        <f>Modelling[[#This Row],[Target E_Grid MTD
MWh]]/Modelling[[#This Row],[MTD DC Capcity]]/(24*CG675)</f>
        <v>0.19838595366178735</v>
      </c>
      <c r="BX675" s="338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3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627</v>
      </c>
      <c r="F676" s="3" t="s">
        <v>627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323">
        <f t="shared" si="247"/>
        <v>0.6946387332416083</v>
      </c>
      <c r="Q676" s="337">
        <f t="shared" si="248"/>
        <v>0.69463873324160796</v>
      </c>
      <c r="R676" s="337">
        <f t="shared" si="249"/>
        <v>0.69412482171792578</v>
      </c>
      <c r="S676" s="323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338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627</v>
      </c>
      <c r="AD676" s="3" t="s">
        <v>627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323">
        <f t="shared" si="255"/>
        <v>0.78678239221549962</v>
      </c>
      <c r="AO676" s="323">
        <f t="shared" si="256"/>
        <v>0.78678239221549895</v>
      </c>
      <c r="AP676" s="323">
        <f t="shared" si="257"/>
        <v>0.87691656513252314</v>
      </c>
      <c r="AQ676" s="323">
        <f t="shared" si="258"/>
        <v>0.22260442682978857</v>
      </c>
      <c r="AR676" s="323">
        <f>Modelling_new[[#This Row],[Target E_Grid MTD
MWh]]/Modelling_new[[#This Row],[MTD DC Capcity]]/(24*CG676)</f>
        <v>0.20005007673951081</v>
      </c>
      <c r="AS676" s="323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627</v>
      </c>
      <c r="BI676" s="3" t="s">
        <v>627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323">
        <f>BM676/Modelling[[#This Row],[Comisined DC ]]/BP676</f>
        <v>0.70118360819178038</v>
      </c>
      <c r="BT676" s="337">
        <f>BN676/BQ676/Modelling[[#This Row],[Comisined DC ]]</f>
        <v>0.70118360819177994</v>
      </c>
      <c r="BU676" s="337">
        <f>BO676/BR676/Modelling[[#This Row],[Comisined DC ]]</f>
        <v>0.74360251067063032</v>
      </c>
      <c r="BV676" s="323">
        <f>BM676/(24*Modelling[[#This Row],[Comisined DC ]])</f>
        <v>0.19838595366178732</v>
      </c>
      <c r="BW676" s="323">
        <f>Modelling[[#This Row],[Target E_Grid MTD
MWh]]/Modelling[[#This Row],[MTD DC Capcity]]/(24*CG676)</f>
        <v>0.19838595366178732</v>
      </c>
      <c r="BX676" s="338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3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627</v>
      </c>
      <c r="F677" s="3" t="s">
        <v>627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323">
        <f t="shared" si="247"/>
        <v>0.6946387332416083</v>
      </c>
      <c r="Q677" s="337">
        <f t="shared" si="248"/>
        <v>0.69463873324160808</v>
      </c>
      <c r="R677" s="337">
        <f t="shared" si="249"/>
        <v>0.69412690108360664</v>
      </c>
      <c r="S677" s="323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338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627</v>
      </c>
      <c r="AD677" s="3" t="s">
        <v>627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323">
        <f t="shared" si="255"/>
        <v>0.78678239221549962</v>
      </c>
      <c r="AO677" s="323">
        <f t="shared" si="256"/>
        <v>0.78678239221549906</v>
      </c>
      <c r="AP677" s="323">
        <f t="shared" si="257"/>
        <v>0.87655186829815357</v>
      </c>
      <c r="AQ677" s="323">
        <f t="shared" si="258"/>
        <v>0.22260442682978857</v>
      </c>
      <c r="AR677" s="323">
        <f>Modelling_new[[#This Row],[Target E_Grid MTD
MWh]]/Modelling_new[[#This Row],[MTD DC Capcity]]/(24*CG677)</f>
        <v>0.20005007673951083</v>
      </c>
      <c r="AS677" s="323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627</v>
      </c>
      <c r="BI677" s="3" t="s">
        <v>627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323">
        <f>BM677/Modelling[[#This Row],[Comisined DC ]]/BP677</f>
        <v>0.70118360819178038</v>
      </c>
      <c r="BT677" s="337">
        <f>BN677/BQ677/Modelling[[#This Row],[Comisined DC ]]</f>
        <v>0.70118360819178005</v>
      </c>
      <c r="BU677" s="337">
        <f>BO677/BR677/Modelling[[#This Row],[Comisined DC ]]</f>
        <v>0.74343087721629442</v>
      </c>
      <c r="BV677" s="323">
        <f>BM677/(24*Modelling[[#This Row],[Comisined DC ]])</f>
        <v>0.19838595366178732</v>
      </c>
      <c r="BW677" s="323">
        <f>Modelling[[#This Row],[Target E_Grid MTD
MWh]]/Modelling[[#This Row],[MTD DC Capcity]]/(24*CG677)</f>
        <v>0.19838595366178735</v>
      </c>
      <c r="BX677" s="338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3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627</v>
      </c>
      <c r="F678" s="3" t="s">
        <v>627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323">
        <f t="shared" si="247"/>
        <v>0.6946387332416083</v>
      </c>
      <c r="Q678" s="337">
        <f t="shared" si="248"/>
        <v>0.69463873324160808</v>
      </c>
      <c r="R678" s="337">
        <f t="shared" si="249"/>
        <v>0.69412896369022559</v>
      </c>
      <c r="S678" s="323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338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627</v>
      </c>
      <c r="AD678" s="3" t="s">
        <v>627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323">
        <f t="shared" si="255"/>
        <v>0.78678239221549962</v>
      </c>
      <c r="AO678" s="323">
        <f t="shared" si="256"/>
        <v>0.78678239221549906</v>
      </c>
      <c r="AP678" s="323">
        <f t="shared" si="257"/>
        <v>0.87619011081057063</v>
      </c>
      <c r="AQ678" s="323">
        <f t="shared" si="258"/>
        <v>0.22260442682978857</v>
      </c>
      <c r="AR678" s="323">
        <f>Modelling_new[[#This Row],[Target E_Grid MTD
MWh]]/Modelling_new[[#This Row],[MTD DC Capcity]]/(24*CG678)</f>
        <v>0.20005007673951083</v>
      </c>
      <c r="AS678" s="323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627</v>
      </c>
      <c r="BI678" s="3" t="s">
        <v>627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323">
        <f>BM678/Modelling[[#This Row],[Comisined DC ]]/BP678</f>
        <v>0.70118360819178038</v>
      </c>
      <c r="BT678" s="337">
        <f>BN678/BQ678/Modelling[[#This Row],[Comisined DC ]]</f>
        <v>0.70118360819178005</v>
      </c>
      <c r="BU678" s="337">
        <f>BO678/BR678/Modelling[[#This Row],[Comisined DC ]]</f>
        <v>0.74326062707597418</v>
      </c>
      <c r="BV678" s="323">
        <f>BM678/(24*Modelling[[#This Row],[Comisined DC ]])</f>
        <v>0.19838595366178732</v>
      </c>
      <c r="BW678" s="323">
        <f>Modelling[[#This Row],[Target E_Grid MTD
MWh]]/Modelling[[#This Row],[MTD DC Capcity]]/(24*CG678)</f>
        <v>0.19838595366178738</v>
      </c>
      <c r="BX678" s="338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3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627</v>
      </c>
      <c r="F679" s="3" t="s">
        <v>627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323">
        <f t="shared" si="247"/>
        <v>0.6946387332416083</v>
      </c>
      <c r="Q679" s="337">
        <f t="shared" si="248"/>
        <v>0.69463873324160819</v>
      </c>
      <c r="R679" s="337">
        <f t="shared" si="249"/>
        <v>0.69413100973957875</v>
      </c>
      <c r="S679" s="323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338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627</v>
      </c>
      <c r="AD679" s="3" t="s">
        <v>627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323">
        <f t="shared" si="255"/>
        <v>0.78678239221549962</v>
      </c>
      <c r="AO679" s="323">
        <f t="shared" si="256"/>
        <v>0.78678239221549906</v>
      </c>
      <c r="AP679" s="323">
        <f t="shared" si="257"/>
        <v>0.87583125727702527</v>
      </c>
      <c r="AQ679" s="323">
        <f t="shared" si="258"/>
        <v>0.22260442682978857</v>
      </c>
      <c r="AR679" s="323">
        <f>Modelling_new[[#This Row],[Target E_Grid MTD
MWh]]/Modelling_new[[#This Row],[MTD DC Capcity]]/(24*CG679)</f>
        <v>0.20005007673951086</v>
      </c>
      <c r="AS679" s="323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627</v>
      </c>
      <c r="BI679" s="3" t="s">
        <v>627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323">
        <f>BM679/Modelling[[#This Row],[Comisined DC ]]/BP679</f>
        <v>0.70118360819178038</v>
      </c>
      <c r="BT679" s="337">
        <f>BN679/BQ679/Modelling[[#This Row],[Comisined DC ]]</f>
        <v>0.70118360819178005</v>
      </c>
      <c r="BU679" s="337">
        <f>BO679/BR679/Modelling[[#This Row],[Comisined DC ]]</f>
        <v>0.74309174359315056</v>
      </c>
      <c r="BV679" s="323">
        <f>BM679/(24*Modelling[[#This Row],[Comisined DC ]])</f>
        <v>0.19838595366178732</v>
      </c>
      <c r="BW679" s="323">
        <f>Modelling[[#This Row],[Target E_Grid MTD
MWh]]/Modelling[[#This Row],[MTD DC Capcity]]/(24*CG679)</f>
        <v>0.19838595366178738</v>
      </c>
      <c r="BX679" s="338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3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627</v>
      </c>
      <c r="F680" s="3" t="s">
        <v>627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323">
        <f t="shared" si="247"/>
        <v>0.6946387332416083</v>
      </c>
      <c r="Q680" s="337">
        <f t="shared" si="248"/>
        <v>0.69463873324160819</v>
      </c>
      <c r="R680" s="337">
        <f t="shared" si="249"/>
        <v>0.69413303943023585</v>
      </c>
      <c r="S680" s="323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338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627</v>
      </c>
      <c r="AD680" s="3" t="s">
        <v>627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323">
        <f t="shared" si="255"/>
        <v>0.78678239221549962</v>
      </c>
      <c r="AO680" s="323">
        <f t="shared" si="256"/>
        <v>0.78678239221549906</v>
      </c>
      <c r="AP680" s="323">
        <f t="shared" si="257"/>
        <v>0.87547527287071703</v>
      </c>
      <c r="AQ680" s="323">
        <f t="shared" si="258"/>
        <v>0.22260442682978857</v>
      </c>
      <c r="AR680" s="323">
        <f>Modelling_new[[#This Row],[Target E_Grid MTD
MWh]]/Modelling_new[[#This Row],[MTD DC Capcity]]/(24*CG680)</f>
        <v>0.20005007673951081</v>
      </c>
      <c r="AS680" s="323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627</v>
      </c>
      <c r="BI680" s="3" t="s">
        <v>627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323">
        <f>BM680/Modelling[[#This Row],[Comisined DC ]]/BP680</f>
        <v>0.70118360819178038</v>
      </c>
      <c r="BT680" s="337">
        <f>BN680/BQ680/Modelling[[#This Row],[Comisined DC ]]</f>
        <v>0.70118360819178005</v>
      </c>
      <c r="BU680" s="337">
        <f>BO680/BR680/Modelling[[#This Row],[Comisined DC ]]</f>
        <v>0.742924210377651</v>
      </c>
      <c r="BV680" s="323">
        <f>BM680/(24*Modelling[[#This Row],[Comisined DC ]])</f>
        <v>0.19838595366178732</v>
      </c>
      <c r="BW680" s="323">
        <f>Modelling[[#This Row],[Target E_Grid MTD
MWh]]/Modelling[[#This Row],[MTD DC Capcity]]/(24*CG680)</f>
        <v>0.19838595366178735</v>
      </c>
      <c r="BX680" s="338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3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627</v>
      </c>
      <c r="F681" s="3" t="s">
        <v>627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323">
        <f t="shared" si="247"/>
        <v>0.6946387332416083</v>
      </c>
      <c r="Q681" s="337">
        <f t="shared" si="248"/>
        <v>0.6946387332416083</v>
      </c>
      <c r="R681" s="337">
        <f t="shared" si="249"/>
        <v>0.69413505295760358</v>
      </c>
      <c r="S681" s="323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338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627</v>
      </c>
      <c r="AD681" s="3" t="s">
        <v>627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323">
        <f t="shared" si="255"/>
        <v>0.78678239221549962</v>
      </c>
      <c r="AO681" s="323">
        <f t="shared" si="256"/>
        <v>0.78678239221549917</v>
      </c>
      <c r="AP681" s="323">
        <f t="shared" si="257"/>
        <v>0.87512212331952666</v>
      </c>
      <c r="AQ681" s="323">
        <f t="shared" si="258"/>
        <v>0.22260442682978857</v>
      </c>
      <c r="AR681" s="323">
        <f>Modelling_new[[#This Row],[Target E_Grid MTD
MWh]]/Modelling_new[[#This Row],[MTD DC Capcity]]/(24*CG681)</f>
        <v>0.20005007673951081</v>
      </c>
      <c r="AS681" s="323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627</v>
      </c>
      <c r="BI681" s="3" t="s">
        <v>627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323">
        <f>BM681/Modelling[[#This Row],[Comisined DC ]]/BP681</f>
        <v>0.70118360819178038</v>
      </c>
      <c r="BT681" s="337">
        <f>BN681/BQ681/Modelling[[#This Row],[Comisined DC ]]</f>
        <v>0.70118360819178016</v>
      </c>
      <c r="BU681" s="337">
        <f>BO681/BR681/Modelling[[#This Row],[Comisined DC ]]</f>
        <v>0.74275801130034669</v>
      </c>
      <c r="BV681" s="323">
        <f>BM681/(24*Modelling[[#This Row],[Comisined DC ]])</f>
        <v>0.19838595366178732</v>
      </c>
      <c r="BW681" s="323">
        <f>Modelling[[#This Row],[Target E_Grid MTD
MWh]]/Modelling[[#This Row],[MTD DC Capcity]]/(24*CG681)</f>
        <v>0.19838595366178738</v>
      </c>
      <c r="BX681" s="338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3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627</v>
      </c>
      <c r="F682" s="3" t="s">
        <v>627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323">
        <f t="shared" si="247"/>
        <v>0.6946387332416083</v>
      </c>
      <c r="Q682" s="337">
        <f t="shared" si="248"/>
        <v>0.6946387332416083</v>
      </c>
      <c r="R682" s="337">
        <f t="shared" si="249"/>
        <v>0.69413705051398911</v>
      </c>
      <c r="S682" s="323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338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627</v>
      </c>
      <c r="AD682" s="3" t="s">
        <v>627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323">
        <f t="shared" si="255"/>
        <v>0.78678239221549962</v>
      </c>
      <c r="AO682" s="323">
        <f t="shared" si="256"/>
        <v>0.78678239221549917</v>
      </c>
      <c r="AP682" s="323">
        <f t="shared" si="257"/>
        <v>0.87477177489501678</v>
      </c>
      <c r="AQ682" s="323">
        <f t="shared" si="258"/>
        <v>0.22260442682978857</v>
      </c>
      <c r="AR682" s="323">
        <f>Modelling_new[[#This Row],[Target E_Grid MTD
MWh]]/Modelling_new[[#This Row],[MTD DC Capcity]]/(24*CG682)</f>
        <v>0.20005007673951081</v>
      </c>
      <c r="AS682" s="323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627</v>
      </c>
      <c r="BI682" s="3" t="s">
        <v>627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323">
        <f>BM682/Modelling[[#This Row],[Comisined DC ]]/BP682</f>
        <v>0.70118360819178038</v>
      </c>
      <c r="BT682" s="337">
        <f>BN682/BQ682/Modelling[[#This Row],[Comisined DC ]]</f>
        <v>0.70118360819178016</v>
      </c>
      <c r="BU682" s="337">
        <f>BO682/BR682/Modelling[[#This Row],[Comisined DC ]]</f>
        <v>0.74259313048797615</v>
      </c>
      <c r="BV682" s="323">
        <f>BM682/(24*Modelling[[#This Row],[Comisined DC ]])</f>
        <v>0.19838595366178732</v>
      </c>
      <c r="BW682" s="323">
        <f>Modelling[[#This Row],[Target E_Grid MTD
MWh]]/Modelling[[#This Row],[MTD DC Capcity]]/(24*CG682)</f>
        <v>0.19838595366178741</v>
      </c>
      <c r="BX682" s="338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3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627</v>
      </c>
      <c r="F683" s="3" t="s">
        <v>627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323">
        <f t="shared" si="247"/>
        <v>0.6946387332416083</v>
      </c>
      <c r="Q683" s="337">
        <f t="shared" si="248"/>
        <v>0.6946387332416083</v>
      </c>
      <c r="R683" s="337">
        <f t="shared" si="249"/>
        <v>0.6941390322886607</v>
      </c>
      <c r="S683" s="323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338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627</v>
      </c>
      <c r="AD683" s="3" t="s">
        <v>627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323">
        <f t="shared" si="255"/>
        <v>0.78678239221549962</v>
      </c>
      <c r="AO683" s="323">
        <f t="shared" si="256"/>
        <v>0.78678239221549917</v>
      </c>
      <c r="AP683" s="323">
        <f t="shared" si="257"/>
        <v>0.87442419440169405</v>
      </c>
      <c r="AQ683" s="323">
        <f t="shared" si="258"/>
        <v>0.22260442682978857</v>
      </c>
      <c r="AR683" s="323">
        <f>Modelling_new[[#This Row],[Target E_Grid MTD
MWh]]/Modelling_new[[#This Row],[MTD DC Capcity]]/(24*CG683)</f>
        <v>0.20005007673951081</v>
      </c>
      <c r="AS683" s="323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627</v>
      </c>
      <c r="BI683" s="3" t="s">
        <v>627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323">
        <f>BM683/Modelling[[#This Row],[Comisined DC ]]/BP683</f>
        <v>0.70118360819178038</v>
      </c>
      <c r="BT683" s="337">
        <f>BN683/BQ683/Modelling[[#This Row],[Comisined DC ]]</f>
        <v>0.70118360819178016</v>
      </c>
      <c r="BU683" s="337">
        <f>BO683/BR683/Modelling[[#This Row],[Comisined DC ]]</f>
        <v>0.74242955231809182</v>
      </c>
      <c r="BV683" s="323">
        <f>BM683/(24*Modelling[[#This Row],[Comisined DC ]])</f>
        <v>0.19838595366178732</v>
      </c>
      <c r="BW683" s="323">
        <f>Modelling[[#This Row],[Target E_Grid MTD
MWh]]/Modelling[[#This Row],[MTD DC Capcity]]/(24*CG683)</f>
        <v>0.19838595366178738</v>
      </c>
      <c r="BX683" s="338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3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627</v>
      </c>
      <c r="F684" s="3" t="s">
        <v>627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323">
        <f t="shared" si="247"/>
        <v>0.6946387332416083</v>
      </c>
      <c r="Q684" s="337">
        <f t="shared" si="248"/>
        <v>0.6946387332416083</v>
      </c>
      <c r="R684" s="337">
        <f t="shared" si="249"/>
        <v>0.69414099846790767</v>
      </c>
      <c r="S684" s="323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338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627</v>
      </c>
      <c r="AD684" s="3" t="s">
        <v>627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323">
        <f t="shared" si="255"/>
        <v>0.78678239221549962</v>
      </c>
      <c r="AO684" s="323">
        <f t="shared" si="256"/>
        <v>0.78678239221549917</v>
      </c>
      <c r="AP684" s="323">
        <f t="shared" si="257"/>
        <v>0.87407934916652374</v>
      </c>
      <c r="AQ684" s="323">
        <f t="shared" si="258"/>
        <v>0.22260442682978857</v>
      </c>
      <c r="AR684" s="323">
        <f>Modelling_new[[#This Row],[Target E_Grid MTD
MWh]]/Modelling_new[[#This Row],[MTD DC Capcity]]/(24*CG684)</f>
        <v>0.20005007673951081</v>
      </c>
      <c r="AS684" s="323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627</v>
      </c>
      <c r="BI684" s="3" t="s">
        <v>627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323">
        <f>BM684/Modelling[[#This Row],[Comisined DC ]]/BP684</f>
        <v>0.70118360819178038</v>
      </c>
      <c r="BT684" s="337">
        <f>BN684/BQ684/Modelling[[#This Row],[Comisined DC ]]</f>
        <v>0.70118360819178016</v>
      </c>
      <c r="BU684" s="337">
        <f>BO684/BR684/Modelling[[#This Row],[Comisined DC ]]</f>
        <v>0.74226726141412513</v>
      </c>
      <c r="BV684" s="323">
        <f>BM684/(24*Modelling[[#This Row],[Comisined DC ]])</f>
        <v>0.19838595366178732</v>
      </c>
      <c r="BW684" s="323">
        <f>Modelling[[#This Row],[Target E_Grid MTD
MWh]]/Modelling[[#This Row],[MTD DC Capcity]]/(24*CG684)</f>
        <v>0.19838595366178735</v>
      </c>
      <c r="BX684" s="338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3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627</v>
      </c>
      <c r="F685" s="3" t="s">
        <v>627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323">
        <f t="shared" si="247"/>
        <v>0.6946387332416083</v>
      </c>
      <c r="Q685" s="337">
        <f t="shared" si="248"/>
        <v>0.6946387332416083</v>
      </c>
      <c r="R685" s="337">
        <f t="shared" si="249"/>
        <v>0.69414294923509923</v>
      </c>
      <c r="S685" s="323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338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627</v>
      </c>
      <c r="AD685" s="3" t="s">
        <v>627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323">
        <f t="shared" si="255"/>
        <v>0.78678239221549962</v>
      </c>
      <c r="AO685" s="323">
        <f t="shared" si="256"/>
        <v>0.78678239221549917</v>
      </c>
      <c r="AP685" s="323">
        <f t="shared" si="257"/>
        <v>0.87373720702869162</v>
      </c>
      <c r="AQ685" s="323">
        <f t="shared" si="258"/>
        <v>0.22260442682978857</v>
      </c>
      <c r="AR685" s="323">
        <f>Modelling_new[[#This Row],[Target E_Grid MTD
MWh]]/Modelling_new[[#This Row],[MTD DC Capcity]]/(24*CG685)</f>
        <v>0.20005007673951078</v>
      </c>
      <c r="AS685" s="323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627</v>
      </c>
      <c r="BI685" s="3" t="s">
        <v>627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323">
        <f>BM685/Modelling[[#This Row],[Comisined DC ]]/BP685</f>
        <v>0.70118360819178038</v>
      </c>
      <c r="BT685" s="337">
        <f>BN685/BQ685/Modelling[[#This Row],[Comisined DC ]]</f>
        <v>0.70118360819178016</v>
      </c>
      <c r="BU685" s="337">
        <f>BO685/BR685/Modelling[[#This Row],[Comisined DC ]]</f>
        <v>0.74210624264056901</v>
      </c>
      <c r="BV685" s="323">
        <f>BM685/(24*Modelling[[#This Row],[Comisined DC ]])</f>
        <v>0.19838595366178732</v>
      </c>
      <c r="BW685" s="323">
        <f>Modelling[[#This Row],[Target E_Grid MTD
MWh]]/Modelling[[#This Row],[MTD DC Capcity]]/(24*CG685)</f>
        <v>0.19838595366178735</v>
      </c>
      <c r="BX685" s="338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3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627</v>
      </c>
      <c r="F686" s="3" t="s">
        <v>627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323">
        <f t="shared" si="247"/>
        <v>0.6946387332416083</v>
      </c>
      <c r="Q686" s="337">
        <f t="shared" si="248"/>
        <v>0.69463873324160841</v>
      </c>
      <c r="R686" s="337">
        <f t="shared" si="249"/>
        <v>0.69414488477074099</v>
      </c>
      <c r="S686" s="323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338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627</v>
      </c>
      <c r="AD686" s="3" t="s">
        <v>627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323">
        <f t="shared" si="255"/>
        <v>0.78678239221549962</v>
      </c>
      <c r="AO686" s="323">
        <f t="shared" si="256"/>
        <v>0.78678239221549939</v>
      </c>
      <c r="AP686" s="323">
        <f t="shared" si="257"/>
        <v>0.87339773632960527</v>
      </c>
      <c r="AQ686" s="323">
        <f t="shared" si="258"/>
        <v>0.22260442682978857</v>
      </c>
      <c r="AR686" s="323">
        <f>Modelling_new[[#This Row],[Target E_Grid MTD
MWh]]/Modelling_new[[#This Row],[MTD DC Capcity]]/(24*CG686)</f>
        <v>0.20005007673951075</v>
      </c>
      <c r="AS686" s="323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627</v>
      </c>
      <c r="BI686" s="3" t="s">
        <v>627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323">
        <f>BM686/Modelling[[#This Row],[Comisined DC ]]/BP686</f>
        <v>0.70118360819178038</v>
      </c>
      <c r="BT686" s="337">
        <f>BN686/BQ686/Modelling[[#This Row],[Comisined DC ]]</f>
        <v>0.70118360819178038</v>
      </c>
      <c r="BU686" s="337">
        <f>BO686/BR686/Modelling[[#This Row],[Comisined DC ]]</f>
        <v>0.74194648109827099</v>
      </c>
      <c r="BV686" s="323">
        <f>BM686/(24*Modelling[[#This Row],[Comisined DC ]])</f>
        <v>0.19838595366178732</v>
      </c>
      <c r="BW686" s="323">
        <f>Modelling[[#This Row],[Target E_Grid MTD
MWh]]/Modelling[[#This Row],[MTD DC Capcity]]/(24*CG686)</f>
        <v>0.19838595366178741</v>
      </c>
      <c r="BX686" s="338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3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627</v>
      </c>
      <c r="F687" s="3" t="s">
        <v>627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323">
        <f t="shared" si="247"/>
        <v>0.6946387332416083</v>
      </c>
      <c r="Q687" s="337">
        <f t="shared" si="248"/>
        <v>0.69463873324160841</v>
      </c>
      <c r="R687" s="337">
        <f t="shared" si="249"/>
        <v>0.69414680525253047</v>
      </c>
      <c r="S687" s="323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338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627</v>
      </c>
      <c r="AD687" s="3" t="s">
        <v>627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323">
        <f t="shared" si="255"/>
        <v>0.78678239221549962</v>
      </c>
      <c r="AO687" s="323">
        <f t="shared" si="256"/>
        <v>0.78678239221549939</v>
      </c>
      <c r="AP687" s="323">
        <f t="shared" si="257"/>
        <v>0.87306090590312946</v>
      </c>
      <c r="AQ687" s="323">
        <f t="shared" si="258"/>
        <v>0.22260442682978857</v>
      </c>
      <c r="AR687" s="323">
        <f>Modelling_new[[#This Row],[Target E_Grid MTD
MWh]]/Modelling_new[[#This Row],[MTD DC Capcity]]/(24*CG687)</f>
        <v>0.20005007673951075</v>
      </c>
      <c r="AS687" s="323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627</v>
      </c>
      <c r="BI687" s="3" t="s">
        <v>627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323">
        <f>BM687/Modelling[[#This Row],[Comisined DC ]]/BP687</f>
        <v>0.70118360819178038</v>
      </c>
      <c r="BT687" s="337">
        <f>BN687/BQ687/Modelling[[#This Row],[Comisined DC ]]</f>
        <v>0.70118360819178038</v>
      </c>
      <c r="BU687" s="337">
        <f>BO687/BR687/Modelling[[#This Row],[Comisined DC ]]</f>
        <v>0.74178796211983944</v>
      </c>
      <c r="BV687" s="323">
        <f>BM687/(24*Modelling[[#This Row],[Comisined DC ]])</f>
        <v>0.19838595366178732</v>
      </c>
      <c r="BW687" s="323">
        <f>Modelling[[#This Row],[Target E_Grid MTD
MWh]]/Modelling[[#This Row],[MTD DC Capcity]]/(24*CG687)</f>
        <v>0.19838595366178738</v>
      </c>
      <c r="BX687" s="338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3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627</v>
      </c>
      <c r="F688" s="3" t="s">
        <v>627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323">
        <f t="shared" si="247"/>
        <v>0.6946387332416083</v>
      </c>
      <c r="Q688" s="337">
        <f t="shared" si="248"/>
        <v>0.69463873324160841</v>
      </c>
      <c r="R688" s="337">
        <f t="shared" si="249"/>
        <v>0.69414871085541197</v>
      </c>
      <c r="S688" s="323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338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627</v>
      </c>
      <c r="AD688" s="3" t="s">
        <v>627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323">
        <f t="shared" si="255"/>
        <v>0.78678239221549962</v>
      </c>
      <c r="AO688" s="323">
        <f t="shared" si="256"/>
        <v>0.78678239221549939</v>
      </c>
      <c r="AP688" s="323">
        <f t="shared" si="257"/>
        <v>0.87272668506604678</v>
      </c>
      <c r="AQ688" s="323">
        <f t="shared" si="258"/>
        <v>0.22260442682978857</v>
      </c>
      <c r="AR688" s="323">
        <f>Modelling_new[[#This Row],[Target E_Grid MTD
MWh]]/Modelling_new[[#This Row],[MTD DC Capcity]]/(24*CG688)</f>
        <v>0.20005007673951075</v>
      </c>
      <c r="AS688" s="323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627</v>
      </c>
      <c r="BI688" s="3" t="s">
        <v>627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323">
        <f>BM688/Modelling[[#This Row],[Comisined DC ]]/BP688</f>
        <v>0.70118360819178038</v>
      </c>
      <c r="BT688" s="337">
        <f>BN688/BQ688/Modelling[[#This Row],[Comisined DC ]]</f>
        <v>0.70118360819178016</v>
      </c>
      <c r="BU688" s="337">
        <f>BO688/BR688/Modelling[[#This Row],[Comisined DC ]]</f>
        <v>0.74163067126515259</v>
      </c>
      <c r="BV688" s="323">
        <f>BM688/(24*Modelling[[#This Row],[Comisined DC ]])</f>
        <v>0.19838595366178732</v>
      </c>
      <c r="BW688" s="323">
        <f>Modelling[[#This Row],[Target E_Grid MTD
MWh]]/Modelling[[#This Row],[MTD DC Capcity]]/(24*CG688)</f>
        <v>0.19838595366178741</v>
      </c>
      <c r="BX688" s="338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3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627</v>
      </c>
      <c r="F689" s="3" t="s">
        <v>627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323">
        <f t="shared" si="247"/>
        <v>0.6946387332416083</v>
      </c>
      <c r="Q689" s="337">
        <f t="shared" si="248"/>
        <v>0.69463873324160841</v>
      </c>
      <c r="R689" s="337">
        <f t="shared" si="249"/>
        <v>0.69415060175162946</v>
      </c>
      <c r="S689" s="323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338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627</v>
      </c>
      <c r="AD689" s="3" t="s">
        <v>627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323">
        <f t="shared" si="255"/>
        <v>0.78678239221549962</v>
      </c>
      <c r="AO689" s="323">
        <f t="shared" si="256"/>
        <v>0.78678239221549939</v>
      </c>
      <c r="AP689" s="323">
        <f t="shared" si="257"/>
        <v>0.87239504360874109</v>
      </c>
      <c r="AQ689" s="323">
        <f t="shared" si="258"/>
        <v>0.22260442682978857</v>
      </c>
      <c r="AR689" s="323">
        <f>Modelling_new[[#This Row],[Target E_Grid MTD
MWh]]/Modelling_new[[#This Row],[MTD DC Capcity]]/(24*CG689)</f>
        <v>0.20005007673951078</v>
      </c>
      <c r="AS689" s="323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627</v>
      </c>
      <c r="BI689" s="3" t="s">
        <v>627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323">
        <f>BM689/Modelling[[#This Row],[Comisined DC ]]/BP689</f>
        <v>0.70118360819178038</v>
      </c>
      <c r="BT689" s="337">
        <f>BN689/BQ689/Modelling[[#This Row],[Comisined DC ]]</f>
        <v>0.70118360819178038</v>
      </c>
      <c r="BU689" s="337">
        <f>BO689/BR689/Modelling[[#This Row],[Comisined DC ]]</f>
        <v>0.74147459431697516</v>
      </c>
      <c r="BV689" s="323">
        <f>BM689/(24*Modelling[[#This Row],[Comisined DC ]])</f>
        <v>0.19838595366178732</v>
      </c>
      <c r="BW689" s="323">
        <f>Modelling[[#This Row],[Target E_Grid MTD
MWh]]/Modelling[[#This Row],[MTD DC Capcity]]/(24*CG689)</f>
        <v>0.19838595366178741</v>
      </c>
      <c r="BX689" s="338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3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627</v>
      </c>
      <c r="F690" s="3" t="s">
        <v>627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323">
        <f t="shared" si="247"/>
        <v>0.67911407346242281</v>
      </c>
      <c r="Q690" s="337">
        <f t="shared" si="248"/>
        <v>0.67911407346242281</v>
      </c>
      <c r="R690" s="337">
        <f t="shared" si="249"/>
        <v>0.69409193252232582</v>
      </c>
      <c r="S690" s="323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338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627</v>
      </c>
      <c r="AD690" s="3" t="s">
        <v>627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323">
        <f t="shared" si="255"/>
        <v>0.86379835563079765</v>
      </c>
      <c r="AO690" s="323">
        <f t="shared" si="256"/>
        <v>0.86379835563079777</v>
      </c>
      <c r="AP690" s="323">
        <f t="shared" si="257"/>
        <v>0.87236150122126133</v>
      </c>
      <c r="AQ690" s="323">
        <f t="shared" si="258"/>
        <v>0.24808494439991666</v>
      </c>
      <c r="AR690" s="323">
        <f>Modelling_new[[#This Row],[Target E_Grid MTD
MWh]]/Modelling_new[[#This Row],[MTD DC Capcity]]/(24*CG690)</f>
        <v>0.22294890030677195</v>
      </c>
      <c r="AS690" s="323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627</v>
      </c>
      <c r="BI690" s="3" t="s">
        <v>627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323">
        <f>BM690/Modelling[[#This Row],[Comisined DC ]]/BP690</f>
        <v>0.73028856249211938</v>
      </c>
      <c r="BT690" s="337">
        <f>BN690/BQ690/Modelling[[#This Row],[Comisined DC ]]</f>
        <v>0.73028856249211938</v>
      </c>
      <c r="BU690" s="337">
        <f>BO690/BR690/Modelling[[#This Row],[Comisined DC ]]</f>
        <v>0.74143094887877914</v>
      </c>
      <c r="BV690" s="323">
        <f>BM690/(24*Modelling[[#This Row],[Comisined DC ]])</f>
        <v>0.20974061393002832</v>
      </c>
      <c r="BW690" s="323">
        <f>Modelling[[#This Row],[Target E_Grid MTD
MWh]]/Modelling[[#This Row],[MTD DC Capcity]]/(24*CG690)</f>
        <v>0.20974061393002832</v>
      </c>
      <c r="BX690" s="338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3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627</v>
      </c>
      <c r="F691" s="3" t="s">
        <v>627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323">
        <f t="shared" si="247"/>
        <v>0.67911407346242281</v>
      </c>
      <c r="Q691" s="337">
        <f t="shared" si="248"/>
        <v>0.67911407346242281</v>
      </c>
      <c r="R691" s="337">
        <f t="shared" si="249"/>
        <v>0.69403371934249913</v>
      </c>
      <c r="S691" s="323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338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627</v>
      </c>
      <c r="AD691" s="3" t="s">
        <v>627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323">
        <f t="shared" si="255"/>
        <v>0.86379835563079765</v>
      </c>
      <c r="AO691" s="323">
        <f t="shared" si="256"/>
        <v>0.86379835563079777</v>
      </c>
      <c r="AP691" s="323">
        <f t="shared" si="257"/>
        <v>0.8723282195665103</v>
      </c>
      <c r="AQ691" s="323">
        <f t="shared" si="258"/>
        <v>0.24808494439991666</v>
      </c>
      <c r="AR691" s="323">
        <f>Modelling_new[[#This Row],[Target E_Grid MTD
MWh]]/Modelling_new[[#This Row],[MTD DC Capcity]]/(24*CG691)</f>
        <v>0.22294890030677195</v>
      </c>
      <c r="AS691" s="323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627</v>
      </c>
      <c r="BI691" s="3" t="s">
        <v>627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323">
        <f>BM691/Modelling[[#This Row],[Comisined DC ]]/BP691</f>
        <v>0.73028856249211938</v>
      </c>
      <c r="BT691" s="337">
        <f>BN691/BQ691/Modelling[[#This Row],[Comisined DC ]]</f>
        <v>0.73028856249211938</v>
      </c>
      <c r="BU691" s="337">
        <f>BO691/BR691/Modelling[[#This Row],[Comisined DC ]]</f>
        <v>0.7413876427066598</v>
      </c>
      <c r="BV691" s="323">
        <f>BM691/(24*Modelling[[#This Row],[Comisined DC ]])</f>
        <v>0.20974061393002832</v>
      </c>
      <c r="BW691" s="323">
        <f>Modelling[[#This Row],[Target E_Grid MTD
MWh]]/Modelling[[#This Row],[MTD DC Capcity]]/(24*CG691)</f>
        <v>0.20974061393002832</v>
      </c>
      <c r="BX691" s="338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3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627</v>
      </c>
      <c r="F692" s="3" t="s">
        <v>627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323">
        <f t="shared" si="247"/>
        <v>0.67911407346242281</v>
      </c>
      <c r="Q692" s="337">
        <f t="shared" si="248"/>
        <v>0.6791140734624227</v>
      </c>
      <c r="R692" s="337">
        <f t="shared" si="249"/>
        <v>0.69397595691526948</v>
      </c>
      <c r="S692" s="323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338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627</v>
      </c>
      <c r="AD692" s="3" t="s">
        <v>627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323">
        <f t="shared" si="255"/>
        <v>0.86379835563079765</v>
      </c>
      <c r="AO692" s="323">
        <f t="shared" si="256"/>
        <v>0.86379835563079777</v>
      </c>
      <c r="AP692" s="323">
        <f t="shared" si="257"/>
        <v>0.87229519561615465</v>
      </c>
      <c r="AQ692" s="323">
        <f t="shared" si="258"/>
        <v>0.24808494439991666</v>
      </c>
      <c r="AR692" s="323">
        <f>Modelling_new[[#This Row],[Target E_Grid MTD
MWh]]/Modelling_new[[#This Row],[MTD DC Capcity]]/(24*CG692)</f>
        <v>0.22294890030677189</v>
      </c>
      <c r="AS692" s="323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627</v>
      </c>
      <c r="BI692" s="3" t="s">
        <v>627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323">
        <f>BM692/Modelling[[#This Row],[Comisined DC ]]/BP692</f>
        <v>0.73028856249211938</v>
      </c>
      <c r="BT692" s="337">
        <f>BN692/BQ692/Modelling[[#This Row],[Comisined DC ]]</f>
        <v>0.73028856249211926</v>
      </c>
      <c r="BU692" s="337">
        <f>BO692/BR692/Modelling[[#This Row],[Comisined DC ]]</f>
        <v>0.7413446718601423</v>
      </c>
      <c r="BV692" s="323">
        <f>BM692/(24*Modelling[[#This Row],[Comisined DC ]])</f>
        <v>0.20974061393002832</v>
      </c>
      <c r="BW692" s="323">
        <f>Modelling[[#This Row],[Target E_Grid MTD
MWh]]/Modelling[[#This Row],[MTD DC Capcity]]/(24*CG692)</f>
        <v>0.2097406139300283</v>
      </c>
      <c r="BX692" s="338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3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627</v>
      </c>
      <c r="F693" s="3" t="s">
        <v>627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323">
        <f t="shared" si="247"/>
        <v>0.67911407346242281</v>
      </c>
      <c r="Q693" s="337">
        <f t="shared" si="248"/>
        <v>0.67911407346242281</v>
      </c>
      <c r="R693" s="337">
        <f t="shared" si="249"/>
        <v>0.69391864002546944</v>
      </c>
      <c r="S693" s="323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338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627</v>
      </c>
      <c r="AD693" s="3" t="s">
        <v>627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323">
        <f t="shared" si="255"/>
        <v>0.86379835563079765</v>
      </c>
      <c r="AO693" s="323">
        <f t="shared" si="256"/>
        <v>0.86379835563079777</v>
      </c>
      <c r="AP693" s="323">
        <f t="shared" si="257"/>
        <v>0.87226242638857754</v>
      </c>
      <c r="AQ693" s="323">
        <f t="shared" si="258"/>
        <v>0.24808494439991666</v>
      </c>
      <c r="AR693" s="323">
        <f>Modelling_new[[#This Row],[Target E_Grid MTD
MWh]]/Modelling_new[[#This Row],[MTD DC Capcity]]/(24*CG693)</f>
        <v>0.22294890030677195</v>
      </c>
      <c r="AS693" s="323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627</v>
      </c>
      <c r="BI693" s="3" t="s">
        <v>627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323">
        <f>BM693/Modelling[[#This Row],[Comisined DC ]]/BP693</f>
        <v>0.73028856249211938</v>
      </c>
      <c r="BT693" s="337">
        <f>BN693/BQ693/Modelling[[#This Row],[Comisined DC ]]</f>
        <v>0.73028856249211938</v>
      </c>
      <c r="BU693" s="337">
        <f>BO693/BR693/Modelling[[#This Row],[Comisined DC ]]</f>
        <v>0.74130203245953907</v>
      </c>
      <c r="BV693" s="323">
        <f>BM693/(24*Modelling[[#This Row],[Comisined DC ]])</f>
        <v>0.20974061393002832</v>
      </c>
      <c r="BW693" s="323">
        <f>Modelling[[#This Row],[Target E_Grid MTD
MWh]]/Modelling[[#This Row],[MTD DC Capcity]]/(24*CG693)</f>
        <v>0.20974061393002832</v>
      </c>
      <c r="BX693" s="338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3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627</v>
      </c>
      <c r="F694" s="3" t="s">
        <v>627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323">
        <f t="shared" si="247"/>
        <v>0.67911407346242281</v>
      </c>
      <c r="Q694" s="337">
        <f t="shared" si="248"/>
        <v>0.67911407346242292</v>
      </c>
      <c r="R694" s="337">
        <f t="shared" si="249"/>
        <v>0.69386176353807449</v>
      </c>
      <c r="S694" s="323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338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627</v>
      </c>
      <c r="AD694" s="3" t="s">
        <v>627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323">
        <f t="shared" si="255"/>
        <v>0.86379835563079765</v>
      </c>
      <c r="AO694" s="323">
        <f t="shared" si="256"/>
        <v>0.86379835563079777</v>
      </c>
      <c r="AP694" s="323">
        <f t="shared" si="257"/>
        <v>0.87222990894798147</v>
      </c>
      <c r="AQ694" s="323">
        <f t="shared" si="258"/>
        <v>0.24808494439991666</v>
      </c>
      <c r="AR694" s="323">
        <f>Modelling_new[[#This Row],[Target E_Grid MTD
MWh]]/Modelling_new[[#This Row],[MTD DC Capcity]]/(24*CG694)</f>
        <v>0.22294890030677195</v>
      </c>
      <c r="AS694" s="323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627</v>
      </c>
      <c r="BI694" s="3" t="s">
        <v>627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323">
        <f>BM694/Modelling[[#This Row],[Comisined DC ]]/BP694</f>
        <v>0.73028856249211938</v>
      </c>
      <c r="BT694" s="337">
        <f>BN694/BQ694/Modelling[[#This Row],[Comisined DC ]]</f>
        <v>0.73028856249211938</v>
      </c>
      <c r="BU694" s="337">
        <f>BO694/BR694/Modelling[[#This Row],[Comisined DC ]]</f>
        <v>0.74125972068478307</v>
      </c>
      <c r="BV694" s="323">
        <f>BM694/(24*Modelling[[#This Row],[Comisined DC ]])</f>
        <v>0.20974061393002832</v>
      </c>
      <c r="BW694" s="323">
        <f>Modelling[[#This Row],[Target E_Grid MTD
MWh]]/Modelling[[#This Row],[MTD DC Capcity]]/(24*CG694)</f>
        <v>0.20974061393002832</v>
      </c>
      <c r="BX694" s="338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3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627</v>
      </c>
      <c r="F695" s="3" t="s">
        <v>627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323">
        <f t="shared" si="247"/>
        <v>0.67911407346242281</v>
      </c>
      <c r="Q695" s="337">
        <f t="shared" si="248"/>
        <v>0.67911407346242281</v>
      </c>
      <c r="R695" s="337">
        <f t="shared" si="249"/>
        <v>0.69380532239666948</v>
      </c>
      <c r="S695" s="323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338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627</v>
      </c>
      <c r="AD695" s="3" t="s">
        <v>627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323">
        <f t="shared" si="255"/>
        <v>0.86379835563079765</v>
      </c>
      <c r="AO695" s="323">
        <f t="shared" si="256"/>
        <v>0.86379835563079777</v>
      </c>
      <c r="AP695" s="323">
        <f t="shared" si="257"/>
        <v>0.87219764040351111</v>
      </c>
      <c r="AQ695" s="323">
        <f t="shared" si="258"/>
        <v>0.24808494439991666</v>
      </c>
      <c r="AR695" s="323">
        <f>Modelling_new[[#This Row],[Target E_Grid MTD
MWh]]/Modelling_new[[#This Row],[MTD DC Capcity]]/(24*CG695)</f>
        <v>0.22294890030677195</v>
      </c>
      <c r="AS695" s="323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627</v>
      </c>
      <c r="BI695" s="3" t="s">
        <v>627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323">
        <f>BM695/Modelling[[#This Row],[Comisined DC ]]/BP695</f>
        <v>0.73028856249211938</v>
      </c>
      <c r="BT695" s="337">
        <f>BN695/BQ695/Modelling[[#This Row],[Comisined DC ]]</f>
        <v>0.73028856249211926</v>
      </c>
      <c r="BU695" s="337">
        <f>BO695/BR695/Modelling[[#This Row],[Comisined DC ]]</f>
        <v>0.74121773277428626</v>
      </c>
      <c r="BV695" s="323">
        <f>BM695/(24*Modelling[[#This Row],[Comisined DC ]])</f>
        <v>0.20974061393002832</v>
      </c>
      <c r="BW695" s="323">
        <f>Modelling[[#This Row],[Target E_Grid MTD
MWh]]/Modelling[[#This Row],[MTD DC Capcity]]/(24*CG695)</f>
        <v>0.2097406139300283</v>
      </c>
      <c r="BX695" s="338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3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627</v>
      </c>
      <c r="F696" s="3" t="s">
        <v>627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323">
        <f t="shared" si="247"/>
        <v>0.67911407346242281</v>
      </c>
      <c r="Q696" s="337">
        <f t="shared" si="248"/>
        <v>0.67911407346242281</v>
      </c>
      <c r="R696" s="337">
        <f t="shared" si="249"/>
        <v>0.69374931162195008</v>
      </c>
      <c r="S696" s="323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338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627</v>
      </c>
      <c r="AD696" s="3" t="s">
        <v>627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323">
        <f t="shared" si="255"/>
        <v>0.86379835563079765</v>
      </c>
      <c r="AO696" s="323">
        <f t="shared" si="256"/>
        <v>0.86379835563079777</v>
      </c>
      <c r="AP696" s="323">
        <f t="shared" si="257"/>
        <v>0.87216561790839742</v>
      </c>
      <c r="AQ696" s="323">
        <f t="shared" si="258"/>
        <v>0.24808494439991666</v>
      </c>
      <c r="AR696" s="323">
        <f>Modelling_new[[#This Row],[Target E_Grid MTD
MWh]]/Modelling_new[[#This Row],[MTD DC Capcity]]/(24*CG696)</f>
        <v>0.22294890030677195</v>
      </c>
      <c r="AS696" s="323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627</v>
      </c>
      <c r="BI696" s="3" t="s">
        <v>627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323">
        <f>BM696/Modelling[[#This Row],[Comisined DC ]]/BP696</f>
        <v>0.73028856249211938</v>
      </c>
      <c r="BT696" s="337">
        <f>BN696/BQ696/Modelling[[#This Row],[Comisined DC ]]</f>
        <v>0.73028856249211926</v>
      </c>
      <c r="BU696" s="337">
        <f>BO696/BR696/Modelling[[#This Row],[Comisined DC ]]</f>
        <v>0.74117606502382583</v>
      </c>
      <c r="BV696" s="323">
        <f>BM696/(24*Modelling[[#This Row],[Comisined DC ]])</f>
        <v>0.20974061393002832</v>
      </c>
      <c r="BW696" s="323">
        <f>Modelling[[#This Row],[Target E_Grid MTD
MWh]]/Modelling[[#This Row],[MTD DC Capcity]]/(24*CG696)</f>
        <v>0.20974061393002832</v>
      </c>
      <c r="BX696" s="338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3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627</v>
      </c>
      <c r="F697" s="3" t="s">
        <v>627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323">
        <f t="shared" si="247"/>
        <v>0.67911407346242281</v>
      </c>
      <c r="Q697" s="337">
        <f t="shared" si="248"/>
        <v>0.67911407346242281</v>
      </c>
      <c r="R697" s="337">
        <f t="shared" si="249"/>
        <v>0.69369372631025872</v>
      </c>
      <c r="S697" s="323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338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627</v>
      </c>
      <c r="AD697" s="3" t="s">
        <v>627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323">
        <f t="shared" si="255"/>
        <v>0.86379835563079765</v>
      </c>
      <c r="AO697" s="323">
        <f t="shared" si="256"/>
        <v>0.86379835563079754</v>
      </c>
      <c r="AP697" s="323">
        <f t="shared" si="257"/>
        <v>0.87213383865912009</v>
      </c>
      <c r="AQ697" s="323">
        <f t="shared" si="258"/>
        <v>0.24808494439991666</v>
      </c>
      <c r="AR697" s="323">
        <f>Modelling_new[[#This Row],[Target E_Grid MTD
MWh]]/Modelling_new[[#This Row],[MTD DC Capcity]]/(24*CG697)</f>
        <v>0.22294890030677197</v>
      </c>
      <c r="AS697" s="323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627</v>
      </c>
      <c r="BI697" s="3" t="s">
        <v>627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323">
        <f>BM697/Modelling[[#This Row],[Comisined DC ]]/BP697</f>
        <v>0.73028856249211938</v>
      </c>
      <c r="BT697" s="337">
        <f>BN697/BQ697/Modelling[[#This Row],[Comisined DC ]]</f>
        <v>0.73028856249211926</v>
      </c>
      <c r="BU697" s="337">
        <f>BO697/BR697/Modelling[[#This Row],[Comisined DC ]]</f>
        <v>0.74113471378545381</v>
      </c>
      <c r="BV697" s="323">
        <f>BM697/(24*Modelling[[#This Row],[Comisined DC ]])</f>
        <v>0.20974061393002832</v>
      </c>
      <c r="BW697" s="323">
        <f>Modelling[[#This Row],[Target E_Grid MTD
MWh]]/Modelling[[#This Row],[MTD DC Capcity]]/(24*CG697)</f>
        <v>0.20974061393002832</v>
      </c>
      <c r="BX697" s="338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3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627</v>
      </c>
      <c r="F698" s="3" t="s">
        <v>627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323">
        <f t="shared" si="247"/>
        <v>0.67911407346242281</v>
      </c>
      <c r="Q698" s="337">
        <f t="shared" si="248"/>
        <v>0.67911407346242281</v>
      </c>
      <c r="R698" s="337">
        <f t="shared" si="249"/>
        <v>0.69363856163215276</v>
      </c>
      <c r="S698" s="323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338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627</v>
      </c>
      <c r="AD698" s="3" t="s">
        <v>627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323">
        <f t="shared" si="255"/>
        <v>0.86379835563079765</v>
      </c>
      <c r="AO698" s="323">
        <f t="shared" si="256"/>
        <v>0.86379835563079754</v>
      </c>
      <c r="AP698" s="323">
        <f t="shared" si="257"/>
        <v>0.87210229989458876</v>
      </c>
      <c r="AQ698" s="323">
        <f t="shared" si="258"/>
        <v>0.24808494439991666</v>
      </c>
      <c r="AR698" s="323">
        <f>Modelling_new[[#This Row],[Target E_Grid MTD
MWh]]/Modelling_new[[#This Row],[MTD DC Capcity]]/(24*CG698)</f>
        <v>0.22294890030677197</v>
      </c>
      <c r="AS698" s="323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627</v>
      </c>
      <c r="BI698" s="3" t="s">
        <v>627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323">
        <f>BM698/Modelling[[#This Row],[Comisined DC ]]/BP698</f>
        <v>0.73028856249211938</v>
      </c>
      <c r="BT698" s="337">
        <f>BN698/BQ698/Modelling[[#This Row],[Comisined DC ]]</f>
        <v>0.73028856249211926</v>
      </c>
      <c r="BU698" s="337">
        <f>BO698/BR698/Modelling[[#This Row],[Comisined DC ]]</f>
        <v>0.74109367546643279</v>
      </c>
      <c r="BV698" s="323">
        <f>BM698/(24*Modelling[[#This Row],[Comisined DC ]])</f>
        <v>0.20974061393002832</v>
      </c>
      <c r="BW698" s="323">
        <f>Modelling[[#This Row],[Target E_Grid MTD
MWh]]/Modelling[[#This Row],[MTD DC Capcity]]/(24*CG698)</f>
        <v>0.20974061393002832</v>
      </c>
      <c r="BX698" s="338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3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627</v>
      </c>
      <c r="F699" s="3" t="s">
        <v>627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323">
        <f t="shared" si="247"/>
        <v>0.67911407346242281</v>
      </c>
      <c r="Q699" s="337">
        <f t="shared" si="248"/>
        <v>0.6791140734624227</v>
      </c>
      <c r="R699" s="337">
        <f t="shared" si="249"/>
        <v>0.69358381283100679</v>
      </c>
      <c r="S699" s="323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338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627</v>
      </c>
      <c r="AD699" s="3" t="s">
        <v>627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323">
        <f t="shared" si="255"/>
        <v>0.86379835563079765</v>
      </c>
      <c r="AO699" s="323">
        <f t="shared" si="256"/>
        <v>0.86379835563079754</v>
      </c>
      <c r="AP699" s="323">
        <f t="shared" si="257"/>
        <v>0.87207099889534434</v>
      </c>
      <c r="AQ699" s="323">
        <f t="shared" si="258"/>
        <v>0.24808494439991666</v>
      </c>
      <c r="AR699" s="323">
        <f>Modelling_new[[#This Row],[Target E_Grid MTD
MWh]]/Modelling_new[[#This Row],[MTD DC Capcity]]/(24*CG699)</f>
        <v>0.22294890030677197</v>
      </c>
      <c r="AS699" s="323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627</v>
      </c>
      <c r="BI699" s="3" t="s">
        <v>627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323">
        <f>BM699/Modelling[[#This Row],[Comisined DC ]]/BP699</f>
        <v>0.73028856249211938</v>
      </c>
      <c r="BT699" s="337">
        <f>BN699/BQ699/Modelling[[#This Row],[Comisined DC ]]</f>
        <v>0.73028856249211926</v>
      </c>
      <c r="BU699" s="337">
        <f>BO699/BR699/Modelling[[#This Row],[Comisined DC ]]</f>
        <v>0.74105294652819564</v>
      </c>
      <c r="BV699" s="323">
        <f>BM699/(24*Modelling[[#This Row],[Comisined DC ]])</f>
        <v>0.20974061393002832</v>
      </c>
      <c r="BW699" s="323">
        <f>Modelling[[#This Row],[Target E_Grid MTD
MWh]]/Modelling[[#This Row],[MTD DC Capcity]]/(24*CG699)</f>
        <v>0.20974061393002832</v>
      </c>
      <c r="BX699" s="338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3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627</v>
      </c>
      <c r="F700" s="3" t="s">
        <v>627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323">
        <f t="shared" si="247"/>
        <v>0.67911407346242281</v>
      </c>
      <c r="Q700" s="337">
        <f t="shared" si="248"/>
        <v>0.6791140734624227</v>
      </c>
      <c r="R700" s="337">
        <f t="shared" si="249"/>
        <v>0.69352947522164443</v>
      </c>
      <c r="S700" s="323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338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627</v>
      </c>
      <c r="AD700" s="3" t="s">
        <v>627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323">
        <f t="shared" si="255"/>
        <v>0.86379835563079765</v>
      </c>
      <c r="AO700" s="323">
        <f t="shared" si="256"/>
        <v>0.86379835563079777</v>
      </c>
      <c r="AP700" s="323">
        <f t="shared" si="257"/>
        <v>0.8720399329827766</v>
      </c>
      <c r="AQ700" s="323">
        <f t="shared" si="258"/>
        <v>0.24808494439991666</v>
      </c>
      <c r="AR700" s="323">
        <f>Modelling_new[[#This Row],[Target E_Grid MTD
MWh]]/Modelling_new[[#This Row],[MTD DC Capcity]]/(24*CG700)</f>
        <v>0.22294890030677197</v>
      </c>
      <c r="AS700" s="323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627</v>
      </c>
      <c r="BI700" s="3" t="s">
        <v>627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323">
        <f>BM700/Modelling[[#This Row],[Comisined DC ]]/BP700</f>
        <v>0.73028856249211938</v>
      </c>
      <c r="BT700" s="337">
        <f>BN700/BQ700/Modelling[[#This Row],[Comisined DC ]]</f>
        <v>0.73028856249211926</v>
      </c>
      <c r="BU700" s="337">
        <f>BO700/BR700/Modelling[[#This Row],[Comisined DC ]]</f>
        <v>0.74101252348532798</v>
      </c>
      <c r="BV700" s="323">
        <f>BM700/(24*Modelling[[#This Row],[Comisined DC ]])</f>
        <v>0.20974061393002832</v>
      </c>
      <c r="BW700" s="323">
        <f>Modelling[[#This Row],[Target E_Grid MTD
MWh]]/Modelling[[#This Row],[MTD DC Capcity]]/(24*CG700)</f>
        <v>0.2097406139300283</v>
      </c>
      <c r="BX700" s="338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3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627</v>
      </c>
      <c r="F701" s="3" t="s">
        <v>627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323">
        <f t="shared" si="247"/>
        <v>0.67911407346242281</v>
      </c>
      <c r="Q701" s="337">
        <f t="shared" si="248"/>
        <v>0.6791140734624227</v>
      </c>
      <c r="R701" s="337">
        <f t="shared" si="249"/>
        <v>0.69347554418900237</v>
      </c>
      <c r="S701" s="323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338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627</v>
      </c>
      <c r="AD701" s="3" t="s">
        <v>627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323">
        <f t="shared" si="255"/>
        <v>0.86379835563079765</v>
      </c>
      <c r="AO701" s="323">
        <f t="shared" si="256"/>
        <v>0.86379835563079777</v>
      </c>
      <c r="AP701" s="323">
        <f t="shared" si="257"/>
        <v>0.87200909951835992</v>
      </c>
      <c r="AQ701" s="323">
        <f t="shared" si="258"/>
        <v>0.24808494439991666</v>
      </c>
      <c r="AR701" s="323">
        <f>Modelling_new[[#This Row],[Target E_Grid MTD
MWh]]/Modelling_new[[#This Row],[MTD DC Capcity]]/(24*CG701)</f>
        <v>0.22294890030677195</v>
      </c>
      <c r="AS701" s="323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627</v>
      </c>
      <c r="BI701" s="3" t="s">
        <v>627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323">
        <f>BM701/Modelling[[#This Row],[Comisined DC ]]/BP701</f>
        <v>0.73028856249211938</v>
      </c>
      <c r="BT701" s="337">
        <f>BN701/BQ701/Modelling[[#This Row],[Comisined DC ]]</f>
        <v>0.73028856249211926</v>
      </c>
      <c r="BU701" s="337">
        <f>BO701/BR701/Modelling[[#This Row],[Comisined DC ]]</f>
        <v>0.74097240290457422</v>
      </c>
      <c r="BV701" s="323">
        <f>BM701/(24*Modelling[[#This Row],[Comisined DC ]])</f>
        <v>0.20974061393002832</v>
      </c>
      <c r="BW701" s="323">
        <f>Modelling[[#This Row],[Target E_Grid MTD
MWh]]/Modelling[[#This Row],[MTD DC Capcity]]/(24*CG701)</f>
        <v>0.2097406139300283</v>
      </c>
      <c r="BX701" s="338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3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627</v>
      </c>
      <c r="F702" s="3" t="s">
        <v>627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323">
        <f t="shared" si="247"/>
        <v>0.67911407346242281</v>
      </c>
      <c r="Q702" s="337">
        <f t="shared" si="248"/>
        <v>0.6791140734624227</v>
      </c>
      <c r="R702" s="337">
        <f t="shared" si="249"/>
        <v>0.69342201518682334</v>
      </c>
      <c r="S702" s="323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338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627</v>
      </c>
      <c r="AD702" s="3" t="s">
        <v>627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323">
        <f t="shared" si="255"/>
        <v>0.86379835563079765</v>
      </c>
      <c r="AO702" s="323">
        <f t="shared" si="256"/>
        <v>0.86379835563079777</v>
      </c>
      <c r="AP702" s="323">
        <f t="shared" si="257"/>
        <v>0.87197849590290732</v>
      </c>
      <c r="AQ702" s="323">
        <f t="shared" si="258"/>
        <v>0.24808494439991666</v>
      </c>
      <c r="AR702" s="323">
        <f>Modelling_new[[#This Row],[Target E_Grid MTD
MWh]]/Modelling_new[[#This Row],[MTD DC Capcity]]/(24*CG702)</f>
        <v>0.22294890030677195</v>
      </c>
      <c r="AS702" s="323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627</v>
      </c>
      <c r="BI702" s="3" t="s">
        <v>627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323">
        <f>BM702/Modelling[[#This Row],[Comisined DC ]]/BP702</f>
        <v>0.73028856249211938</v>
      </c>
      <c r="BT702" s="337">
        <f>BN702/BQ702/Modelling[[#This Row],[Comisined DC ]]</f>
        <v>0.73028856249211926</v>
      </c>
      <c r="BU702" s="337">
        <f>BO702/BR702/Modelling[[#This Row],[Comisined DC ]]</f>
        <v>0.74093258140386542</v>
      </c>
      <c r="BV702" s="323">
        <f>BM702/(24*Modelling[[#This Row],[Comisined DC ]])</f>
        <v>0.20974061393002832</v>
      </c>
      <c r="BW702" s="323">
        <f>Modelling[[#This Row],[Target E_Grid MTD
MWh]]/Modelling[[#This Row],[MTD DC Capcity]]/(24*CG702)</f>
        <v>0.20974061393002835</v>
      </c>
      <c r="BX702" s="338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3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627</v>
      </c>
      <c r="F703" s="3" t="s">
        <v>627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323">
        <f t="shared" si="247"/>
        <v>0.67911407346242281</v>
      </c>
      <c r="Q703" s="337">
        <f t="shared" si="248"/>
        <v>0.6791140734624227</v>
      </c>
      <c r="R703" s="337">
        <f t="shared" si="249"/>
        <v>0.69336888373637917</v>
      </c>
      <c r="S703" s="323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338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627</v>
      </c>
      <c r="AD703" s="3" t="s">
        <v>627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323">
        <f t="shared" si="255"/>
        <v>0.86379835563079765</v>
      </c>
      <c r="AO703" s="323">
        <f t="shared" si="256"/>
        <v>0.86379835563079777</v>
      </c>
      <c r="AP703" s="323">
        <f t="shared" si="257"/>
        <v>0.87194811957583895</v>
      </c>
      <c r="AQ703" s="323">
        <f t="shared" si="258"/>
        <v>0.24808494439991666</v>
      </c>
      <c r="AR703" s="323">
        <f>Modelling_new[[#This Row],[Target E_Grid MTD
MWh]]/Modelling_new[[#This Row],[MTD DC Capcity]]/(24*CG703)</f>
        <v>0.22294890030677195</v>
      </c>
      <c r="AS703" s="323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627</v>
      </c>
      <c r="BI703" s="3" t="s">
        <v>627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323">
        <f>BM703/Modelling[[#This Row],[Comisined DC ]]/BP703</f>
        <v>0.73028856249211938</v>
      </c>
      <c r="BT703" s="337">
        <f>BN703/BQ703/Modelling[[#This Row],[Comisined DC ]]</f>
        <v>0.73028856249211926</v>
      </c>
      <c r="BU703" s="337">
        <f>BO703/BR703/Modelling[[#This Row],[Comisined DC ]]</f>
        <v>0.74089305565136865</v>
      </c>
      <c r="BV703" s="323">
        <f>BM703/(24*Modelling[[#This Row],[Comisined DC ]])</f>
        <v>0.20974061393002832</v>
      </c>
      <c r="BW703" s="323">
        <f>Modelling[[#This Row],[Target E_Grid MTD
MWh]]/Modelling[[#This Row],[MTD DC Capcity]]/(24*CG703)</f>
        <v>0.20974061393002832</v>
      </c>
      <c r="BX703" s="338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3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627</v>
      </c>
      <c r="F704" s="3" t="s">
        <v>627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323">
        <f t="shared" ref="P704:P712" si="272">J704/$Q$1/M704</f>
        <v>0.67911407346242281</v>
      </c>
      <c r="Q704" s="337">
        <f t="shared" ref="Q704:Q712" si="273">K704/N704/$Q$1</f>
        <v>0.6791140734624227</v>
      </c>
      <c r="R704" s="337">
        <f t="shared" ref="R704:R712" si="274">L704/O704/$Q$1</f>
        <v>0.6933161454252208</v>
      </c>
      <c r="S704" s="323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338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627</v>
      </c>
      <c r="AD704" s="3" t="s">
        <v>627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323">
        <f t="shared" ref="AN704:AN748" si="280">AH704/$Q$1/AK704</f>
        <v>0.86379835563079765</v>
      </c>
      <c r="AO704" s="323">
        <f t="shared" ref="AO704:AO748" si="281">AI704/AL704/$Q$1</f>
        <v>0.86379835563079788</v>
      </c>
      <c r="AP704" s="323">
        <f t="shared" ref="AP704:AP748" si="282">AJ704/AM704/$Q$1</f>
        <v>0.87191796801446841</v>
      </c>
      <c r="AQ704" s="323">
        <f t="shared" ref="AQ704:AQ748" si="283">AH704/(24*$Q$1)</f>
        <v>0.24808494439991666</v>
      </c>
      <c r="AR704" s="323">
        <f>Modelling_new[[#This Row],[Target E_Grid MTD
MWh]]/Modelling_new[[#This Row],[MTD DC Capcity]]/(24*CG704)</f>
        <v>0.22294890030677192</v>
      </c>
      <c r="AS704" s="323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627</v>
      </c>
      <c r="BI704" s="3" t="s">
        <v>627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323">
        <f>BM704/Modelling[[#This Row],[Comisined DC ]]/BP704</f>
        <v>0.73028856249211938</v>
      </c>
      <c r="BT704" s="337">
        <f>BN704/BQ704/Modelling[[#This Row],[Comisined DC ]]</f>
        <v>0.73028856249211938</v>
      </c>
      <c r="BU704" s="337">
        <f>BO704/BR704/Modelling[[#This Row],[Comisined DC ]]</f>
        <v>0.74085382236455799</v>
      </c>
      <c r="BV704" s="323">
        <f>BM704/(24*Modelling[[#This Row],[Comisined DC ]])</f>
        <v>0.20974061393002832</v>
      </c>
      <c r="BW704" s="323">
        <f>Modelling[[#This Row],[Target E_Grid MTD
MWh]]/Modelling[[#This Row],[MTD DC Capcity]]/(24*CG704)</f>
        <v>0.20974061393002835</v>
      </c>
      <c r="BX704" s="338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3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627</v>
      </c>
      <c r="F705" s="3" t="s">
        <v>627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323">
        <f t="shared" si="272"/>
        <v>0.67911407346242281</v>
      </c>
      <c r="Q705" s="337">
        <f t="shared" si="273"/>
        <v>0.6791140734624227</v>
      </c>
      <c r="R705" s="337">
        <f t="shared" si="274"/>
        <v>0.69326379590595755</v>
      </c>
      <c r="S705" s="323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338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627</v>
      </c>
      <c r="AD705" s="3" t="s">
        <v>627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323">
        <f t="shared" si="280"/>
        <v>0.86379835563079765</v>
      </c>
      <c r="AO705" s="323">
        <f t="shared" si="281"/>
        <v>0.86379835563079788</v>
      </c>
      <c r="AP705" s="323">
        <f t="shared" si="282"/>
        <v>0.871888038733304</v>
      </c>
      <c r="AQ705" s="323">
        <f t="shared" si="283"/>
        <v>0.24808494439991666</v>
      </c>
      <c r="AR705" s="323">
        <f>Modelling_new[[#This Row],[Target E_Grid MTD
MWh]]/Modelling_new[[#This Row],[MTD DC Capcity]]/(24*CG705)</f>
        <v>0.22294890030677192</v>
      </c>
      <c r="AS705" s="323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627</v>
      </c>
      <c r="BI705" s="3" t="s">
        <v>627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323">
        <f>BM705/Modelling[[#This Row],[Comisined DC ]]/BP705</f>
        <v>0.73028856249211938</v>
      </c>
      <c r="BT705" s="337">
        <f>BN705/BQ705/Modelling[[#This Row],[Comisined DC ]]</f>
        <v>0.73028856249211938</v>
      </c>
      <c r="BU705" s="337">
        <f>BO705/BR705/Modelling[[#This Row],[Comisined DC ]]</f>
        <v>0.74081487830930581</v>
      </c>
      <c r="BV705" s="323">
        <f>BM705/(24*Modelling[[#This Row],[Comisined DC ]])</f>
        <v>0.20974061393002832</v>
      </c>
      <c r="BW705" s="323">
        <f>Modelling[[#This Row],[Target E_Grid MTD
MWh]]/Modelling[[#This Row],[MTD DC Capcity]]/(24*CG705)</f>
        <v>0.20974061393002838</v>
      </c>
      <c r="BX705" s="338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3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627</v>
      </c>
      <c r="F706" s="3" t="s">
        <v>627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323">
        <f t="shared" si="272"/>
        <v>0.67911407346242281</v>
      </c>
      <c r="Q706" s="337">
        <f t="shared" si="273"/>
        <v>0.6791140734624227</v>
      </c>
      <c r="R706" s="337">
        <f t="shared" si="274"/>
        <v>0.69321183089506178</v>
      </c>
      <c r="S706" s="323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338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627</v>
      </c>
      <c r="AD706" s="3" t="s">
        <v>627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323">
        <f t="shared" si="280"/>
        <v>0.86379835563079765</v>
      </c>
      <c r="AO706" s="323">
        <f t="shared" si="281"/>
        <v>0.86379835563079788</v>
      </c>
      <c r="AP706" s="323">
        <f t="shared" si="282"/>
        <v>0.87185832928336648</v>
      </c>
      <c r="AQ706" s="323">
        <f t="shared" si="283"/>
        <v>0.24808494439991666</v>
      </c>
      <c r="AR706" s="323">
        <f>Modelling_new[[#This Row],[Target E_Grid MTD
MWh]]/Modelling_new[[#This Row],[MTD DC Capcity]]/(24*CG706)</f>
        <v>0.22294890030677192</v>
      </c>
      <c r="AS706" s="323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627</v>
      </c>
      <c r="BI706" s="3" t="s">
        <v>627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323">
        <f>BM706/Modelling[[#This Row],[Comisined DC ]]/BP706</f>
        <v>0.73028856249211938</v>
      </c>
      <c r="BT706" s="337">
        <f>BN706/BQ706/Modelling[[#This Row],[Comisined DC ]]</f>
        <v>0.73028856249211938</v>
      </c>
      <c r="BU706" s="337">
        <f>BO706/BR706/Modelling[[#This Row],[Comisined DC ]]</f>
        <v>0.74077622029899381</v>
      </c>
      <c r="BV706" s="323">
        <f>BM706/(24*Modelling[[#This Row],[Comisined DC ]])</f>
        <v>0.20974061393002832</v>
      </c>
      <c r="BW706" s="323">
        <f>Modelling[[#This Row],[Target E_Grid MTD
MWh]]/Modelling[[#This Row],[MTD DC Capcity]]/(24*CG706)</f>
        <v>0.20974061393002835</v>
      </c>
      <c r="BX706" s="338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3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627</v>
      </c>
      <c r="F707" s="3" t="s">
        <v>627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323">
        <f t="shared" si="272"/>
        <v>0.67911407346242281</v>
      </c>
      <c r="Q707" s="337">
        <f t="shared" si="273"/>
        <v>0.6791140734624227</v>
      </c>
      <c r="R707" s="337">
        <f t="shared" si="274"/>
        <v>0.69316024617170102</v>
      </c>
      <c r="S707" s="323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338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627</v>
      </c>
      <c r="AD707" s="3" t="s">
        <v>627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323">
        <f t="shared" si="280"/>
        <v>0.86379835563079765</v>
      </c>
      <c r="AO707" s="323">
        <f t="shared" si="281"/>
        <v>0.86379835563079788</v>
      </c>
      <c r="AP707" s="323">
        <f t="shared" si="282"/>
        <v>0.87182883725152027</v>
      </c>
      <c r="AQ707" s="323">
        <f t="shared" si="283"/>
        <v>0.24808494439991666</v>
      </c>
      <c r="AR707" s="323">
        <f>Modelling_new[[#This Row],[Target E_Grid MTD
MWh]]/Modelling_new[[#This Row],[MTD DC Capcity]]/(24*CG707)</f>
        <v>0.22294890030677189</v>
      </c>
      <c r="AS707" s="323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627</v>
      </c>
      <c r="BI707" s="3" t="s">
        <v>627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323">
        <f>BM707/Modelling[[#This Row],[Comisined DC ]]/BP707</f>
        <v>0.73028856249211938</v>
      </c>
      <c r="BT707" s="337">
        <f>BN707/BQ707/Modelling[[#This Row],[Comisined DC ]]</f>
        <v>0.73028856249211938</v>
      </c>
      <c r="BU707" s="337">
        <f>BO707/BR707/Modelling[[#This Row],[Comisined DC ]]</f>
        <v>0.74073784519364427</v>
      </c>
      <c r="BV707" s="323">
        <f>BM707/(24*Modelling[[#This Row],[Comisined DC ]])</f>
        <v>0.20974061393002832</v>
      </c>
      <c r="BW707" s="323">
        <f>Modelling[[#This Row],[Target E_Grid MTD
MWh]]/Modelling[[#This Row],[MTD DC Capcity]]/(24*CG707)</f>
        <v>0.20974061393002841</v>
      </c>
      <c r="BX707" s="338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3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627</v>
      </c>
      <c r="F708" s="3" t="s">
        <v>627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323">
        <f t="shared" si="272"/>
        <v>0.67911407346242281</v>
      </c>
      <c r="Q708" s="337">
        <f t="shared" si="273"/>
        <v>0.6791140734624227</v>
      </c>
      <c r="R708" s="337">
        <f t="shared" si="274"/>
        <v>0.69310903757659481</v>
      </c>
      <c r="S708" s="323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338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627</v>
      </c>
      <c r="AD708" s="3" t="s">
        <v>627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323">
        <f t="shared" si="280"/>
        <v>0.86379835563079765</v>
      </c>
      <c r="AO708" s="323">
        <f t="shared" si="281"/>
        <v>0.86379835563079788</v>
      </c>
      <c r="AP708" s="323">
        <f t="shared" si="282"/>
        <v>0.87179956025982042</v>
      </c>
      <c r="AQ708" s="323">
        <f t="shared" si="283"/>
        <v>0.24808494439991666</v>
      </c>
      <c r="AR708" s="323">
        <f>Modelling_new[[#This Row],[Target E_Grid MTD
MWh]]/Modelling_new[[#This Row],[MTD DC Capcity]]/(24*CG708)</f>
        <v>0.22294890030677189</v>
      </c>
      <c r="AS708" s="323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627</v>
      </c>
      <c r="BI708" s="3" t="s">
        <v>627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323">
        <f>BM708/Modelling[[#This Row],[Comisined DC ]]/BP708</f>
        <v>0.73028856249211938</v>
      </c>
      <c r="BT708" s="337">
        <f>BN708/BQ708/Modelling[[#This Row],[Comisined DC ]]</f>
        <v>0.73028856249211938</v>
      </c>
      <c r="BU708" s="337">
        <f>BO708/BR708/Modelling[[#This Row],[Comisined DC ]]</f>
        <v>0.74069974989906917</v>
      </c>
      <c r="BV708" s="323">
        <f>BM708/(24*Modelling[[#This Row],[Comisined DC ]])</f>
        <v>0.20974061393002832</v>
      </c>
      <c r="BW708" s="323">
        <f>Modelling[[#This Row],[Target E_Grid MTD
MWh]]/Modelling[[#This Row],[MTD DC Capcity]]/(24*CG708)</f>
        <v>0.20974061393002838</v>
      </c>
      <c r="BX708" s="338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3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627</v>
      </c>
      <c r="F709" s="3" t="s">
        <v>627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323">
        <f t="shared" si="272"/>
        <v>0.67911407346242281</v>
      </c>
      <c r="Q709" s="337">
        <f t="shared" si="273"/>
        <v>0.6791140734624227</v>
      </c>
      <c r="R709" s="337">
        <f t="shared" si="274"/>
        <v>0.69305820101089699</v>
      </c>
      <c r="S709" s="323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338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627</v>
      </c>
      <c r="AD709" s="3" t="s">
        <v>627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323">
        <f t="shared" si="280"/>
        <v>0.86379835563079765</v>
      </c>
      <c r="AO709" s="323">
        <f t="shared" si="281"/>
        <v>0.86379835563079788</v>
      </c>
      <c r="AP709" s="323">
        <f t="shared" si="282"/>
        <v>0.87177049596487344</v>
      </c>
      <c r="AQ709" s="323">
        <f t="shared" si="283"/>
        <v>0.24808494439991666</v>
      </c>
      <c r="AR709" s="323">
        <f>Modelling_new[[#This Row],[Target E_Grid MTD
MWh]]/Modelling_new[[#This Row],[MTD DC Capcity]]/(24*CG709)</f>
        <v>0.22294890030677192</v>
      </c>
      <c r="AS709" s="323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627</v>
      </c>
      <c r="BI709" s="3" t="s">
        <v>627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323">
        <f>BM709/Modelling[[#This Row],[Comisined DC ]]/BP709</f>
        <v>0.73028856249211938</v>
      </c>
      <c r="BT709" s="337">
        <f>BN709/BQ709/Modelling[[#This Row],[Comisined DC ]]</f>
        <v>0.73028856249211938</v>
      </c>
      <c r="BU709" s="337">
        <f>BO709/BR709/Modelling[[#This Row],[Comisined DC ]]</f>
        <v>0.74066193136603908</v>
      </c>
      <c r="BV709" s="323">
        <f>BM709/(24*Modelling[[#This Row],[Comisined DC ]])</f>
        <v>0.20974061393002832</v>
      </c>
      <c r="BW709" s="323">
        <f>Modelling[[#This Row],[Target E_Grid MTD
MWh]]/Modelling[[#This Row],[MTD DC Capcity]]/(24*CG709)</f>
        <v>0.20974061393002838</v>
      </c>
      <c r="BX709" s="338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3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627</v>
      </c>
      <c r="F710" s="3" t="s">
        <v>627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323">
        <f t="shared" si="272"/>
        <v>0.67911407346242281</v>
      </c>
      <c r="Q710" s="337">
        <f t="shared" si="273"/>
        <v>0.6791140734624227</v>
      </c>
      <c r="R710" s="337">
        <f t="shared" si="274"/>
        <v>0.69300773243510161</v>
      </c>
      <c r="S710" s="323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338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627</v>
      </c>
      <c r="AD710" s="3" t="s">
        <v>627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323">
        <f t="shared" si="280"/>
        <v>0.86379835563079765</v>
      </c>
      <c r="AO710" s="323">
        <f t="shared" si="281"/>
        <v>0.86379835563079799</v>
      </c>
      <c r="AP710" s="323">
        <f t="shared" si="282"/>
        <v>0.87174164205721194</v>
      </c>
      <c r="AQ710" s="323">
        <f t="shared" si="283"/>
        <v>0.24808494439991666</v>
      </c>
      <c r="AR710" s="323">
        <f>Modelling_new[[#This Row],[Target E_Grid MTD
MWh]]/Modelling_new[[#This Row],[MTD DC Capcity]]/(24*CG710)</f>
        <v>0.22294890030677189</v>
      </c>
      <c r="AS710" s="323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627</v>
      </c>
      <c r="BI710" s="3" t="s">
        <v>627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323">
        <f>BM710/Modelling[[#This Row],[Comisined DC ]]/BP710</f>
        <v>0.73028856249211938</v>
      </c>
      <c r="BT710" s="337">
        <f>BN710/BQ710/Modelling[[#This Row],[Comisined DC ]]</f>
        <v>0.73028856249211938</v>
      </c>
      <c r="BU710" s="337">
        <f>BO710/BR710/Modelling[[#This Row],[Comisined DC ]]</f>
        <v>0.74062438658946939</v>
      </c>
      <c r="BV710" s="323">
        <f>BM710/(24*Modelling[[#This Row],[Comisined DC ]])</f>
        <v>0.20974061393002832</v>
      </c>
      <c r="BW710" s="323">
        <f>Modelling[[#This Row],[Target E_Grid MTD
MWh]]/Modelling[[#This Row],[MTD DC Capcity]]/(24*CG710)</f>
        <v>0.20974061393002838</v>
      </c>
      <c r="BX710" s="338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3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627</v>
      </c>
      <c r="F711" s="3" t="s">
        <v>627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323">
        <f t="shared" si="272"/>
        <v>0.67911407346242281</v>
      </c>
      <c r="Q711" s="337">
        <f t="shared" si="273"/>
        <v>0.6791140734624227</v>
      </c>
      <c r="R711" s="337">
        <f t="shared" si="274"/>
        <v>0.69295762786797366</v>
      </c>
      <c r="S711" s="323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338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627</v>
      </c>
      <c r="AD711" s="3" t="s">
        <v>627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323">
        <f t="shared" si="280"/>
        <v>0.86379835563079765</v>
      </c>
      <c r="AO711" s="323">
        <f t="shared" si="281"/>
        <v>0.86379835563079799</v>
      </c>
      <c r="AP711" s="323">
        <f t="shared" si="282"/>
        <v>0.87171299626068333</v>
      </c>
      <c r="AQ711" s="323">
        <f t="shared" si="283"/>
        <v>0.24808494439991666</v>
      </c>
      <c r="AR711" s="323">
        <f>Modelling_new[[#This Row],[Target E_Grid MTD
MWh]]/Modelling_new[[#This Row],[MTD DC Capcity]]/(24*CG711)</f>
        <v>0.22294890030677186</v>
      </c>
      <c r="AS711" s="323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627</v>
      </c>
      <c r="BI711" s="3" t="s">
        <v>627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323">
        <f>BM711/Modelling[[#This Row],[Comisined DC ]]/BP711</f>
        <v>0.73028856249211938</v>
      </c>
      <c r="BT711" s="337">
        <f>BN711/BQ711/Modelling[[#This Row],[Comisined DC ]]</f>
        <v>0.73028856249211938</v>
      </c>
      <c r="BU711" s="337">
        <f>BO711/BR711/Modelling[[#This Row],[Comisined DC ]]</f>
        <v>0.74058711260762444</v>
      </c>
      <c r="BV711" s="323">
        <f>BM711/(24*Modelling[[#This Row],[Comisined DC ]])</f>
        <v>0.20974061393002832</v>
      </c>
      <c r="BW711" s="323">
        <f>Modelling[[#This Row],[Target E_Grid MTD
MWh]]/Modelling[[#This Row],[MTD DC Capcity]]/(24*CG711)</f>
        <v>0.20974061393002841</v>
      </c>
      <c r="BX711" s="338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3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627</v>
      </c>
      <c r="F712" s="3" t="s">
        <v>627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323">
        <f t="shared" si="272"/>
        <v>0.67911407346242281</v>
      </c>
      <c r="Q712" s="337">
        <f t="shared" si="273"/>
        <v>0.6791140734624227</v>
      </c>
      <c r="R712" s="337">
        <f t="shared" si="274"/>
        <v>0.69290788338550147</v>
      </c>
      <c r="S712" s="323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338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627</v>
      </c>
      <c r="AD712" s="3" t="s">
        <v>627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323">
        <f t="shared" si="280"/>
        <v>0.86379835563079765</v>
      </c>
      <c r="AO712" s="323">
        <f t="shared" si="281"/>
        <v>0.86379835563079799</v>
      </c>
      <c r="AP712" s="323">
        <f t="shared" si="282"/>
        <v>0.87168455633185038</v>
      </c>
      <c r="AQ712" s="323">
        <f t="shared" si="283"/>
        <v>0.24808494439991666</v>
      </c>
      <c r="AR712" s="323">
        <f>Modelling_new[[#This Row],[Target E_Grid MTD
MWh]]/Modelling_new[[#This Row],[MTD DC Capcity]]/(24*CG712)</f>
        <v>0.22294890030677186</v>
      </c>
      <c r="AS712" s="323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627</v>
      </c>
      <c r="BI712" s="3" t="s">
        <v>627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323">
        <f>BM712/Modelling[[#This Row],[Comisined DC ]]/BP712</f>
        <v>0.73028856249211938</v>
      </c>
      <c r="BT712" s="337">
        <f>BN712/BQ712/Modelling[[#This Row],[Comisined DC ]]</f>
        <v>0.73028856249211938</v>
      </c>
      <c r="BU712" s="337">
        <f>BO712/BR712/Modelling[[#This Row],[Comisined DC ]]</f>
        <v>0.74055010650133823</v>
      </c>
      <c r="BV712" s="323">
        <f>BM712/(24*Modelling[[#This Row],[Comisined DC ]])</f>
        <v>0.20974061393002832</v>
      </c>
      <c r="BW712" s="323">
        <f>Modelling[[#This Row],[Target E_Grid MTD
MWh]]/Modelling[[#This Row],[MTD DC Capcity]]/(24*CG712)</f>
        <v>0.20974061393002841</v>
      </c>
      <c r="BX712" s="338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3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627</v>
      </c>
      <c r="F713" s="3" t="s">
        <v>627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323">
        <f t="shared" ref="P713:P748" si="292">J713/$Q$1/M713</f>
        <v>0.67911407346242281</v>
      </c>
      <c r="Q713" s="337">
        <f t="shared" ref="Q713:Q748" si="293">K713/N713/$Q$1</f>
        <v>0.6791140734624227</v>
      </c>
      <c r="R713" s="337">
        <f t="shared" ref="R713:R748" si="294">L713/O713/$Q$1</f>
        <v>0.69285849511987263</v>
      </c>
      <c r="S713" s="323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338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627</v>
      </c>
      <c r="AD713" s="3" t="s">
        <v>627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323">
        <f t="shared" si="280"/>
        <v>0.86379835563079765</v>
      </c>
      <c r="AO713" s="323">
        <f t="shared" si="281"/>
        <v>0.86379835563079799</v>
      </c>
      <c r="AP713" s="323">
        <f t="shared" si="282"/>
        <v>0.87165632005940652</v>
      </c>
      <c r="AQ713" s="323">
        <f t="shared" si="283"/>
        <v>0.24808494439991666</v>
      </c>
      <c r="AR713" s="323">
        <f>Modelling_new[[#This Row],[Target E_Grid MTD
MWh]]/Modelling_new[[#This Row],[MTD DC Capcity]]/(24*CG713)</f>
        <v>0.22294890030677184</v>
      </c>
      <c r="AS713" s="323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627</v>
      </c>
      <c r="BI713" s="3" t="s">
        <v>627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323">
        <f>BM713/Modelling[[#This Row],[Comisined DC ]]/BP713</f>
        <v>0.73028856249211938</v>
      </c>
      <c r="BT713" s="337">
        <f>BN713/BQ713/Modelling[[#This Row],[Comisined DC ]]</f>
        <v>0.73028856249211938</v>
      </c>
      <c r="BU713" s="337">
        <f>BO713/BR713/Modelling[[#This Row],[Comisined DC ]]</f>
        <v>0.74051336539325308</v>
      </c>
      <c r="BV713" s="323">
        <f>BM713/(24*Modelling[[#This Row],[Comisined DC ]])</f>
        <v>0.20974061393002832</v>
      </c>
      <c r="BW713" s="323">
        <f>Modelling[[#This Row],[Target E_Grid MTD
MWh]]/Modelling[[#This Row],[MTD DC Capcity]]/(24*CG713)</f>
        <v>0.20974061393002841</v>
      </c>
      <c r="BX713" s="338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3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627</v>
      </c>
      <c r="F714" s="3" t="s">
        <v>627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323">
        <f t="shared" si="292"/>
        <v>0.67911407346242281</v>
      </c>
      <c r="Q714" s="337">
        <f t="shared" si="293"/>
        <v>0.6791140734624227</v>
      </c>
      <c r="R714" s="337">
        <f t="shared" si="294"/>
        <v>0.69280945925847126</v>
      </c>
      <c r="S714" s="323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338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627</v>
      </c>
      <c r="AD714" s="3" t="s">
        <v>627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323">
        <f t="shared" si="280"/>
        <v>0.86379835563079765</v>
      </c>
      <c r="AO714" s="323">
        <f t="shared" si="281"/>
        <v>0.86379835563079799</v>
      </c>
      <c r="AP714" s="323">
        <f t="shared" si="282"/>
        <v>0.87162828526360192</v>
      </c>
      <c r="AQ714" s="323">
        <f t="shared" si="283"/>
        <v>0.24808494439991666</v>
      </c>
      <c r="AR714" s="323">
        <f>Modelling_new[[#This Row],[Target E_Grid MTD
MWh]]/Modelling_new[[#This Row],[MTD DC Capcity]]/(24*CG714)</f>
        <v>0.22294890030677186</v>
      </c>
      <c r="AS714" s="323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627</v>
      </c>
      <c r="BI714" s="3" t="s">
        <v>627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323">
        <f>BM714/Modelling[[#This Row],[Comisined DC ]]/BP714</f>
        <v>0.73028856249211938</v>
      </c>
      <c r="BT714" s="337">
        <f>BN714/BQ714/Modelling[[#This Row],[Comisined DC ]]</f>
        <v>0.73028856249211938</v>
      </c>
      <c r="BU714" s="337">
        <f>BO714/BR714/Modelling[[#This Row],[Comisined DC ]]</f>
        <v>0.7404768864470731</v>
      </c>
      <c r="BV714" s="323">
        <f>BM714/(24*Modelling[[#This Row],[Comisined DC ]])</f>
        <v>0.20974061393002832</v>
      </c>
      <c r="BW714" s="323">
        <f>Modelling[[#This Row],[Target E_Grid MTD
MWh]]/Modelling[[#This Row],[MTD DC Capcity]]/(24*CG714)</f>
        <v>0.20974061393002841</v>
      </c>
      <c r="BX714" s="338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3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627</v>
      </c>
      <c r="F715" s="3" t="s">
        <v>627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323">
        <f t="shared" si="292"/>
        <v>0.67911407346242281</v>
      </c>
      <c r="Q715" s="337">
        <f t="shared" si="293"/>
        <v>0.6791140734624227</v>
      </c>
      <c r="R715" s="337">
        <f t="shared" si="294"/>
        <v>0.6927607720428971</v>
      </c>
      <c r="S715" s="323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338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627</v>
      </c>
      <c r="AD715" s="3" t="s">
        <v>627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323">
        <f t="shared" si="280"/>
        <v>0.86379835563079765</v>
      </c>
      <c r="AO715" s="323">
        <f t="shared" si="281"/>
        <v>0.86379835563079799</v>
      </c>
      <c r="AP715" s="323">
        <f t="shared" si="282"/>
        <v>0.87160044979568285</v>
      </c>
      <c r="AQ715" s="323">
        <f t="shared" si="283"/>
        <v>0.24808494439991666</v>
      </c>
      <c r="AR715" s="323">
        <f>Modelling_new[[#This Row],[Target E_Grid MTD
MWh]]/Modelling_new[[#This Row],[MTD DC Capcity]]/(24*CG715)</f>
        <v>0.22294890030677186</v>
      </c>
      <c r="AS715" s="323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627</v>
      </c>
      <c r="BI715" s="3" t="s">
        <v>627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323">
        <f>BM715/Modelling[[#This Row],[Comisined DC ]]/BP715</f>
        <v>0.73028856249211938</v>
      </c>
      <c r="BT715" s="337">
        <f>BN715/BQ715/Modelling[[#This Row],[Comisined DC ]]</f>
        <v>0.73028856249211938</v>
      </c>
      <c r="BU715" s="337">
        <f>BO715/BR715/Modelling[[#This Row],[Comisined DC ]]</f>
        <v>0.74044066686683463</v>
      </c>
      <c r="BV715" s="323">
        <f>BM715/(24*Modelling[[#This Row],[Comisined DC ]])</f>
        <v>0.20974061393002832</v>
      </c>
      <c r="BW715" s="323">
        <f>Modelling[[#This Row],[Target E_Grid MTD
MWh]]/Modelling[[#This Row],[MTD DC Capcity]]/(24*CG715)</f>
        <v>0.20974061393002841</v>
      </c>
      <c r="BX715" s="338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3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627</v>
      </c>
      <c r="F716" s="3" t="s">
        <v>627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323">
        <f t="shared" si="292"/>
        <v>0.67911407346242281</v>
      </c>
      <c r="Q716" s="337">
        <f t="shared" si="293"/>
        <v>0.6791140734624227</v>
      </c>
      <c r="R716" s="337">
        <f t="shared" si="294"/>
        <v>0.69271242976800518</v>
      </c>
      <c r="S716" s="323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338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627</v>
      </c>
      <c r="AD716" s="3" t="s">
        <v>627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323">
        <f t="shared" si="280"/>
        <v>0.86379835563079765</v>
      </c>
      <c r="AO716" s="323">
        <f t="shared" si="281"/>
        <v>0.86379835563079799</v>
      </c>
      <c r="AP716" s="323">
        <f t="shared" si="282"/>
        <v>0.87157281153734312</v>
      </c>
      <c r="AQ716" s="323">
        <f t="shared" si="283"/>
        <v>0.24808494439991666</v>
      </c>
      <c r="AR716" s="323">
        <f>Modelling_new[[#This Row],[Target E_Grid MTD
MWh]]/Modelling_new[[#This Row],[MTD DC Capcity]]/(24*CG716)</f>
        <v>0.22294890030677186</v>
      </c>
      <c r="AS716" s="323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627</v>
      </c>
      <c r="BI716" s="3" t="s">
        <v>627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323">
        <f>BM716/Modelling[[#This Row],[Comisined DC ]]/BP716</f>
        <v>0.73028856249211938</v>
      </c>
      <c r="BT716" s="337">
        <f>BN716/BQ716/Modelling[[#This Row],[Comisined DC ]]</f>
        <v>0.73028856249211938</v>
      </c>
      <c r="BU716" s="337">
        <f>BO716/BR716/Modelling[[#This Row],[Comisined DC ]]</f>
        <v>0.74040470389619228</v>
      </c>
      <c r="BV716" s="323">
        <f>BM716/(24*Modelling[[#This Row],[Comisined DC ]])</f>
        <v>0.20974061393002832</v>
      </c>
      <c r="BW716" s="323">
        <f>Modelling[[#This Row],[Target E_Grid MTD
MWh]]/Modelling[[#This Row],[MTD DC Capcity]]/(24*CG716)</f>
        <v>0.20974061393002838</v>
      </c>
      <c r="BX716" s="338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3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627</v>
      </c>
      <c r="F717" s="3" t="s">
        <v>627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323">
        <f t="shared" si="292"/>
        <v>0.67911407346242281</v>
      </c>
      <c r="Q717" s="337">
        <f t="shared" si="293"/>
        <v>0.6791140734624227</v>
      </c>
      <c r="R717" s="337">
        <f t="shared" si="294"/>
        <v>0.69266442878096557</v>
      </c>
      <c r="S717" s="323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338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627</v>
      </c>
      <c r="AD717" s="3" t="s">
        <v>627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323">
        <f t="shared" si="280"/>
        <v>0.86379835563079765</v>
      </c>
      <c r="AO717" s="323">
        <f t="shared" si="281"/>
        <v>0.86379835563079799</v>
      </c>
      <c r="AP717" s="323">
        <f t="shared" si="282"/>
        <v>0.87154536840018559</v>
      </c>
      <c r="AQ717" s="323">
        <f t="shared" si="283"/>
        <v>0.24808494439991666</v>
      </c>
      <c r="AR717" s="323">
        <f>Modelling_new[[#This Row],[Target E_Grid MTD
MWh]]/Modelling_new[[#This Row],[MTD DC Capcity]]/(24*CG717)</f>
        <v>0.22294890030677186</v>
      </c>
      <c r="AS717" s="323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627</v>
      </c>
      <c r="BI717" s="3" t="s">
        <v>627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323">
        <f>BM717/Modelling[[#This Row],[Comisined DC ]]/BP717</f>
        <v>0.73028856249211938</v>
      </c>
      <c r="BT717" s="337">
        <f>BN717/BQ717/Modelling[[#This Row],[Comisined DC ]]</f>
        <v>0.73028856249211938</v>
      </c>
      <c r="BU717" s="337">
        <f>BO717/BR717/Modelling[[#This Row],[Comisined DC ]]</f>
        <v>0.7403689948177189</v>
      </c>
      <c r="BV717" s="323">
        <f>BM717/(24*Modelling[[#This Row],[Comisined DC ]])</f>
        <v>0.20974061393002832</v>
      </c>
      <c r="BW717" s="323">
        <f>Modelling[[#This Row],[Target E_Grid MTD
MWh]]/Modelling[[#This Row],[MTD DC Capcity]]/(24*CG717)</f>
        <v>0.20974061393002841</v>
      </c>
      <c r="BX717" s="338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3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627</v>
      </c>
      <c r="F718" s="3" t="s">
        <v>627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323">
        <f t="shared" si="292"/>
        <v>0.67030734634295319</v>
      </c>
      <c r="Q718" s="337">
        <f t="shared" si="293"/>
        <v>0.67030734634295319</v>
      </c>
      <c r="R718" s="337">
        <f t="shared" si="294"/>
        <v>0.69258570665970498</v>
      </c>
      <c r="S718" s="323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338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627</v>
      </c>
      <c r="AD718" s="3" t="s">
        <v>627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323">
        <f t="shared" si="280"/>
        <v>0.90862338165413326</v>
      </c>
      <c r="AO718" s="323">
        <f t="shared" si="281"/>
        <v>0.90862338165413326</v>
      </c>
      <c r="AP718" s="323">
        <f t="shared" si="282"/>
        <v>0.87167592478488254</v>
      </c>
      <c r="AQ718" s="323">
        <f t="shared" si="283"/>
        <v>0.26122922222556338</v>
      </c>
      <c r="AR718" s="323">
        <f>Modelling_new[[#This Row],[Target E_Grid MTD
MWh]]/Modelling_new[[#This Row],[MTD DC Capcity]]/(24*CG718)</f>
        <v>0.23476139579553731</v>
      </c>
      <c r="AS718" s="323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627</v>
      </c>
      <c r="BI718" s="3" t="s">
        <v>627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323">
        <f>BM718/Modelling[[#This Row],[Comisined DC ]]/BP718</f>
        <v>0.74733667956858518</v>
      </c>
      <c r="BT718" s="337">
        <f>BN718/BQ718/Modelling[[#This Row],[Comisined DC ]]</f>
        <v>0.74733667956858529</v>
      </c>
      <c r="BU718" s="337">
        <f>BO718/BR718/Modelling[[#This Row],[Comisined DC ]]</f>
        <v>0.74039352891895427</v>
      </c>
      <c r="BV718" s="323">
        <f>BM718/(24*Modelling[[#This Row],[Comisined DC ]])</f>
        <v>0.21485929537596829</v>
      </c>
      <c r="BW718" s="323">
        <f>Modelling[[#This Row],[Target E_Grid MTD
MWh]]/Modelling[[#This Row],[MTD DC Capcity]]/(24*CG718)</f>
        <v>0.21485929537596826</v>
      </c>
      <c r="BX718" s="338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3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627</v>
      </c>
      <c r="F719" s="3" t="s">
        <v>627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323">
        <f t="shared" si="292"/>
        <v>0.67030734634295319</v>
      </c>
      <c r="Q719" s="337">
        <f t="shared" si="293"/>
        <v>0.67030734634295319</v>
      </c>
      <c r="R719" s="337">
        <f t="shared" si="294"/>
        <v>0.69250753697438305</v>
      </c>
      <c r="S719" s="323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338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627</v>
      </c>
      <c r="AD719" s="3" t="s">
        <v>627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323">
        <f t="shared" si="280"/>
        <v>0.90862338165413326</v>
      </c>
      <c r="AO719" s="323">
        <f t="shared" si="281"/>
        <v>0.90862338165413326</v>
      </c>
      <c r="AP719" s="323">
        <f t="shared" si="282"/>
        <v>0.87180556498442385</v>
      </c>
      <c r="AQ719" s="323">
        <f t="shared" si="283"/>
        <v>0.26122922222556338</v>
      </c>
      <c r="AR719" s="323">
        <f>Modelling_new[[#This Row],[Target E_Grid MTD
MWh]]/Modelling_new[[#This Row],[MTD DC Capcity]]/(24*CG719)</f>
        <v>0.23476139579553731</v>
      </c>
      <c r="AS719" s="323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627</v>
      </c>
      <c r="BI719" s="3" t="s">
        <v>627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323">
        <f>BM719/Modelling[[#This Row],[Comisined DC ]]/BP719</f>
        <v>0.74733667956858518</v>
      </c>
      <c r="BT719" s="337">
        <f>BN719/BQ719/Modelling[[#This Row],[Comisined DC ]]</f>
        <v>0.74733667956858529</v>
      </c>
      <c r="BU719" s="337">
        <f>BO719/BR719/Modelling[[#This Row],[Comisined DC ]]</f>
        <v>0.74041789085105814</v>
      </c>
      <c r="BV719" s="323">
        <f>BM719/(24*Modelling[[#This Row],[Comisined DC ]])</f>
        <v>0.21485929537596829</v>
      </c>
      <c r="BW719" s="323">
        <f>Modelling[[#This Row],[Target E_Grid MTD
MWh]]/Modelling[[#This Row],[MTD DC Capcity]]/(24*CG719)</f>
        <v>0.21485929537596826</v>
      </c>
      <c r="BX719" s="338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3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627</v>
      </c>
      <c r="F720" s="3" t="s">
        <v>627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323">
        <f t="shared" si="292"/>
        <v>0.67030734634295319</v>
      </c>
      <c r="Q720" s="337">
        <f t="shared" si="293"/>
        <v>0.67030734634295319</v>
      </c>
      <c r="R720" s="337">
        <f t="shared" si="294"/>
        <v>0.69242991393021713</v>
      </c>
      <c r="S720" s="323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338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627</v>
      </c>
      <c r="AD720" s="3" t="s">
        <v>627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323">
        <f t="shared" si="280"/>
        <v>0.90862338165413326</v>
      </c>
      <c r="AO720" s="323">
        <f t="shared" si="281"/>
        <v>0.90862338165413326</v>
      </c>
      <c r="AP720" s="323">
        <f t="shared" si="282"/>
        <v>0.87193429860914295</v>
      </c>
      <c r="AQ720" s="323">
        <f t="shared" si="283"/>
        <v>0.26122922222556338</v>
      </c>
      <c r="AR720" s="323">
        <f>Modelling_new[[#This Row],[Target E_Grid MTD
MWh]]/Modelling_new[[#This Row],[MTD DC Capcity]]/(24*CG720)</f>
        <v>0.23476139579553731</v>
      </c>
      <c r="AS720" s="323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627</v>
      </c>
      <c r="BI720" s="3" t="s">
        <v>627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323">
        <f>BM720/Modelling[[#This Row],[Comisined DC ]]/BP720</f>
        <v>0.74733667956858518</v>
      </c>
      <c r="BT720" s="337">
        <f>BN720/BQ720/Modelling[[#This Row],[Comisined DC ]]</f>
        <v>0.74733667956858529</v>
      </c>
      <c r="BU720" s="337">
        <f>BO720/BR720/Modelling[[#This Row],[Comisined DC ]]</f>
        <v>0.74044208242000042</v>
      </c>
      <c r="BV720" s="323">
        <f>BM720/(24*Modelling[[#This Row],[Comisined DC ]])</f>
        <v>0.21485929537596829</v>
      </c>
      <c r="BW720" s="323">
        <f>Modelling[[#This Row],[Target E_Grid MTD
MWh]]/Modelling[[#This Row],[MTD DC Capcity]]/(24*CG720)</f>
        <v>0.21485929537596829</v>
      </c>
      <c r="BX720" s="338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3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627</v>
      </c>
      <c r="F721" s="3" t="s">
        <v>627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323">
        <f t="shared" si="292"/>
        <v>0.67030734634295319</v>
      </c>
      <c r="Q721" s="337">
        <f t="shared" si="293"/>
        <v>0.67030734634295319</v>
      </c>
      <c r="R721" s="337">
        <f t="shared" si="294"/>
        <v>0.69235283181318841</v>
      </c>
      <c r="S721" s="323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338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627</v>
      </c>
      <c r="AD721" s="3" t="s">
        <v>627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323">
        <f t="shared" si="280"/>
        <v>0.90862338165413326</v>
      </c>
      <c r="AO721" s="323">
        <f t="shared" si="281"/>
        <v>0.90862338165413326</v>
      </c>
      <c r="AP721" s="323">
        <f t="shared" si="282"/>
        <v>0.87206213513543218</v>
      </c>
      <c r="AQ721" s="323">
        <f t="shared" si="283"/>
        <v>0.26122922222556338</v>
      </c>
      <c r="AR721" s="323">
        <f>Modelling_new[[#This Row],[Target E_Grid MTD
MWh]]/Modelling_new[[#This Row],[MTD DC Capcity]]/(24*CG721)</f>
        <v>0.23476139579553731</v>
      </c>
      <c r="AS721" s="323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627</v>
      </c>
      <c r="BI721" s="3" t="s">
        <v>627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323">
        <f>BM721/Modelling[[#This Row],[Comisined DC ]]/BP721</f>
        <v>0.74733667956858518</v>
      </c>
      <c r="BT721" s="337">
        <f>BN721/BQ721/Modelling[[#This Row],[Comisined DC ]]</f>
        <v>0.74733667956858529</v>
      </c>
      <c r="BU721" s="337">
        <f>BO721/BR721/Modelling[[#This Row],[Comisined DC ]]</f>
        <v>0.74046610540658087</v>
      </c>
      <c r="BV721" s="323">
        <f>BM721/(24*Modelling[[#This Row],[Comisined DC ]])</f>
        <v>0.21485929537596829</v>
      </c>
      <c r="BW721" s="323">
        <f>Modelling[[#This Row],[Target E_Grid MTD
MWh]]/Modelling[[#This Row],[MTD DC Capcity]]/(24*CG721)</f>
        <v>0.21485929537596826</v>
      </c>
      <c r="BX721" s="338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3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627</v>
      </c>
      <c r="F722" s="3" t="s">
        <v>627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323">
        <f t="shared" si="292"/>
        <v>0.67030734634295319</v>
      </c>
      <c r="Q722" s="337">
        <f t="shared" si="293"/>
        <v>0.67030734634295319</v>
      </c>
      <c r="R722" s="337">
        <f t="shared" si="294"/>
        <v>0.69227628498863891</v>
      </c>
      <c r="S722" s="323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338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627</v>
      </c>
      <c r="AD722" s="3" t="s">
        <v>627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323">
        <f t="shared" si="280"/>
        <v>0.90862338165413326</v>
      </c>
      <c r="AO722" s="323">
        <f t="shared" si="281"/>
        <v>0.90862338165413337</v>
      </c>
      <c r="AP722" s="323">
        <f t="shared" si="282"/>
        <v>0.87218908390806649</v>
      </c>
      <c r="AQ722" s="323">
        <f t="shared" si="283"/>
        <v>0.26122922222556338</v>
      </c>
      <c r="AR722" s="323">
        <f>Modelling_new[[#This Row],[Target E_Grid MTD
MWh]]/Modelling_new[[#This Row],[MTD DC Capcity]]/(24*CG722)</f>
        <v>0.23476139579553731</v>
      </c>
      <c r="AS722" s="323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627</v>
      </c>
      <c r="BI722" s="3" t="s">
        <v>627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323">
        <f>BM722/Modelling[[#This Row],[Comisined DC ]]/BP722</f>
        <v>0.74733667956858518</v>
      </c>
      <c r="BT722" s="337">
        <f>BN722/BQ722/Modelling[[#This Row],[Comisined DC ]]</f>
        <v>0.74733667956858529</v>
      </c>
      <c r="BU722" s="337">
        <f>BO722/BR722/Modelling[[#This Row],[Comisined DC ]]</f>
        <v>0.74048996156686542</v>
      </c>
      <c r="BV722" s="323">
        <f>BM722/(24*Modelling[[#This Row],[Comisined DC ]])</f>
        <v>0.21485929537596829</v>
      </c>
      <c r="BW722" s="323">
        <f>Modelling[[#This Row],[Target E_Grid MTD
MWh]]/Modelling[[#This Row],[MTD DC Capcity]]/(24*CG722)</f>
        <v>0.21485929537596826</v>
      </c>
      <c r="BX722" s="338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3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627</v>
      </c>
      <c r="F723" s="3" t="s">
        <v>627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323">
        <f t="shared" si="292"/>
        <v>0.67030734634295319</v>
      </c>
      <c r="Q723" s="337">
        <f t="shared" si="293"/>
        <v>0.67030734634295319</v>
      </c>
      <c r="R723" s="337">
        <f t="shared" si="294"/>
        <v>0.69220026789989952</v>
      </c>
      <c r="S723" s="323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338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627</v>
      </c>
      <c r="AD723" s="3" t="s">
        <v>627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323">
        <f t="shared" si="280"/>
        <v>0.90862338165413326</v>
      </c>
      <c r="AO723" s="323">
        <f t="shared" si="281"/>
        <v>0.90862338165413337</v>
      </c>
      <c r="AP723" s="323">
        <f t="shared" si="282"/>
        <v>0.87231515414248195</v>
      </c>
      <c r="AQ723" s="323">
        <f t="shared" si="283"/>
        <v>0.26122922222556338</v>
      </c>
      <c r="AR723" s="323">
        <f>Modelling_new[[#This Row],[Target E_Grid MTD
MWh]]/Modelling_new[[#This Row],[MTD DC Capcity]]/(24*CG723)</f>
        <v>0.23476139579553731</v>
      </c>
      <c r="AS723" s="323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627</v>
      </c>
      <c r="BI723" s="3" t="s">
        <v>627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323">
        <f>BM723/Modelling[[#This Row],[Comisined DC ]]/BP723</f>
        <v>0.74733667956858518</v>
      </c>
      <c r="BT723" s="337">
        <f>BN723/BQ723/Modelling[[#This Row],[Comisined DC ]]</f>
        <v>0.74733667956858529</v>
      </c>
      <c r="BU723" s="337">
        <f>BO723/BR723/Modelling[[#This Row],[Comisined DC ]]</f>
        <v>0.74051365263261537</v>
      </c>
      <c r="BV723" s="323">
        <f>BM723/(24*Modelling[[#This Row],[Comisined DC ]])</f>
        <v>0.21485929537596829</v>
      </c>
      <c r="BW723" s="323">
        <f>Modelling[[#This Row],[Target E_Grid MTD
MWh]]/Modelling[[#This Row],[MTD DC Capcity]]/(24*CG723)</f>
        <v>0.21485929537596826</v>
      </c>
      <c r="BX723" s="338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3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627</v>
      </c>
      <c r="F724" s="3" t="s">
        <v>627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323">
        <f t="shared" si="292"/>
        <v>0.67030734634295319</v>
      </c>
      <c r="Q724" s="337">
        <f t="shared" si="293"/>
        <v>0.67030734634295319</v>
      </c>
      <c r="R724" s="337">
        <f t="shared" si="294"/>
        <v>0.69212477506694459</v>
      </c>
      <c r="S724" s="323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338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627</v>
      </c>
      <c r="AD724" s="3" t="s">
        <v>627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323">
        <f t="shared" si="280"/>
        <v>0.90862338165413326</v>
      </c>
      <c r="AO724" s="323">
        <f t="shared" si="281"/>
        <v>0.90862338165413337</v>
      </c>
      <c r="AP724" s="323">
        <f t="shared" si="282"/>
        <v>0.87244035492700478</v>
      </c>
      <c r="AQ724" s="323">
        <f t="shared" si="283"/>
        <v>0.26122922222556338</v>
      </c>
      <c r="AR724" s="323">
        <f>Modelling_new[[#This Row],[Target E_Grid MTD
MWh]]/Modelling_new[[#This Row],[MTD DC Capcity]]/(24*CG724)</f>
        <v>0.23476139579553731</v>
      </c>
      <c r="AS724" s="323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627</v>
      </c>
      <c r="BI724" s="3" t="s">
        <v>627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323">
        <f>BM724/Modelling[[#This Row],[Comisined DC ]]/BP724</f>
        <v>0.74733667956858518</v>
      </c>
      <c r="BT724" s="337">
        <f>BN724/BQ724/Modelling[[#This Row],[Comisined DC ]]</f>
        <v>0.74733667956858529</v>
      </c>
      <c r="BU724" s="337">
        <f>BO724/BR724/Modelling[[#This Row],[Comisined DC ]]</f>
        <v>0.7405371803117049</v>
      </c>
      <c r="BV724" s="323">
        <f>BM724/(24*Modelling[[#This Row],[Comisined DC ]])</f>
        <v>0.21485929537596829</v>
      </c>
      <c r="BW724" s="323">
        <f>Modelling[[#This Row],[Target E_Grid MTD
MWh]]/Modelling[[#This Row],[MTD DC Capcity]]/(24*CG724)</f>
        <v>0.21485929537596823</v>
      </c>
      <c r="BX724" s="338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3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627</v>
      </c>
      <c r="F725" s="3" t="s">
        <v>627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323">
        <f t="shared" si="292"/>
        <v>0.67030734634295319</v>
      </c>
      <c r="Q725" s="337">
        <f t="shared" si="293"/>
        <v>0.67030734634295319</v>
      </c>
      <c r="R725" s="337">
        <f t="shared" si="294"/>
        <v>0.69204980108507508</v>
      </c>
      <c r="S725" s="323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338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627</v>
      </c>
      <c r="AD725" s="3" t="s">
        <v>627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323">
        <f t="shared" si="280"/>
        <v>0.90862338165413326</v>
      </c>
      <c r="AO725" s="323">
        <f t="shared" si="281"/>
        <v>0.90862338165413337</v>
      </c>
      <c r="AP725" s="323">
        <f t="shared" si="282"/>
        <v>0.8725646952250361</v>
      </c>
      <c r="AQ725" s="323">
        <f t="shared" si="283"/>
        <v>0.26122922222556338</v>
      </c>
      <c r="AR725" s="323">
        <f>Modelling_new[[#This Row],[Target E_Grid MTD
MWh]]/Modelling_new[[#This Row],[MTD DC Capcity]]/(24*CG725)</f>
        <v>0.23476139579553734</v>
      </c>
      <c r="AS725" s="323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627</v>
      </c>
      <c r="BI725" s="3" t="s">
        <v>627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323">
        <f>BM725/Modelling[[#This Row],[Comisined DC ]]/BP725</f>
        <v>0.74733667956858518</v>
      </c>
      <c r="BT725" s="337">
        <f>BN725/BQ725/Modelling[[#This Row],[Comisined DC ]]</f>
        <v>0.7473366795685854</v>
      </c>
      <c r="BU725" s="337">
        <f>BO725/BR725/Modelling[[#This Row],[Comisined DC ]]</f>
        <v>0.74056054628853285</v>
      </c>
      <c r="BV725" s="323">
        <f>BM725/(24*Modelling[[#This Row],[Comisined DC ]])</f>
        <v>0.21485929537596829</v>
      </c>
      <c r="BW725" s="323">
        <f>Modelling[[#This Row],[Target E_Grid MTD
MWh]]/Modelling[[#This Row],[MTD DC Capcity]]/(24*CG725)</f>
        <v>0.21485929537596826</v>
      </c>
      <c r="BX725" s="338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3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627</v>
      </c>
      <c r="F726" s="3" t="s">
        <v>627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323">
        <f t="shared" si="292"/>
        <v>0.67030734634295319</v>
      </c>
      <c r="Q726" s="337">
        <f t="shared" si="293"/>
        <v>0.67030734634295319</v>
      </c>
      <c r="R726" s="337">
        <f t="shared" si="294"/>
        <v>0.69197534062362942</v>
      </c>
      <c r="S726" s="323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338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627</v>
      </c>
      <c r="AD726" s="3" t="s">
        <v>627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323">
        <f t="shared" si="280"/>
        <v>0.90862338165413326</v>
      </c>
      <c r="AO726" s="323">
        <f t="shared" si="281"/>
        <v>0.90862338165413359</v>
      </c>
      <c r="AP726" s="323">
        <f t="shared" si="282"/>
        <v>0.8726881838771906</v>
      </c>
      <c r="AQ726" s="323">
        <f t="shared" si="283"/>
        <v>0.26122922222556338</v>
      </c>
      <c r="AR726" s="323">
        <f>Modelling_new[[#This Row],[Target E_Grid MTD
MWh]]/Modelling_new[[#This Row],[MTD DC Capcity]]/(24*CG726)</f>
        <v>0.23476139579553734</v>
      </c>
      <c r="AS726" s="323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627</v>
      </c>
      <c r="BI726" s="3" t="s">
        <v>627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323">
        <f>BM726/Modelling[[#This Row],[Comisined DC ]]/BP726</f>
        <v>0.74733667956858518</v>
      </c>
      <c r="BT726" s="337">
        <f>BN726/BQ726/Modelling[[#This Row],[Comisined DC ]]</f>
        <v>0.7473366795685854</v>
      </c>
      <c r="BU726" s="337">
        <f>BO726/BR726/Modelling[[#This Row],[Comisined DC ]]</f>
        <v>0.7405837522244233</v>
      </c>
      <c r="BV726" s="323">
        <f>BM726/(24*Modelling[[#This Row],[Comisined DC ]])</f>
        <v>0.21485929537596829</v>
      </c>
      <c r="BW726" s="323">
        <f>Modelling[[#This Row],[Target E_Grid MTD
MWh]]/Modelling[[#This Row],[MTD DC Capcity]]/(24*CG726)</f>
        <v>0.21485929537596832</v>
      </c>
      <c r="BX726" s="338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3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627</v>
      </c>
      <c r="F727" s="3" t="s">
        <v>627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323">
        <f t="shared" si="292"/>
        <v>0.67030734634295319</v>
      </c>
      <c r="Q727" s="337">
        <f t="shared" si="293"/>
        <v>0.67030734634295319</v>
      </c>
      <c r="R727" s="337">
        <f t="shared" si="294"/>
        <v>0.69190138842471927</v>
      </c>
      <c r="S727" s="323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338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627</v>
      </c>
      <c r="AD727" s="3" t="s">
        <v>627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323">
        <f t="shared" si="280"/>
        <v>0.90862338165413326</v>
      </c>
      <c r="AO727" s="323">
        <f t="shared" si="281"/>
        <v>0.90862338165413337</v>
      </c>
      <c r="AP727" s="323">
        <f t="shared" si="282"/>
        <v>0.87281082960339174</v>
      </c>
      <c r="AQ727" s="323">
        <f t="shared" si="283"/>
        <v>0.26122922222556338</v>
      </c>
      <c r="AR727" s="323">
        <f>Modelling_new[[#This Row],[Target E_Grid MTD
MWh]]/Modelling_new[[#This Row],[MTD DC Capcity]]/(24*CG727)</f>
        <v>0.23476139579553737</v>
      </c>
      <c r="AS727" s="323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627</v>
      </c>
      <c r="BI727" s="3" t="s">
        <v>627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323">
        <f>BM727/Modelling[[#This Row],[Comisined DC ]]/BP727</f>
        <v>0.74733667956858518</v>
      </c>
      <c r="BT727" s="337">
        <f>BN727/BQ727/Modelling[[#This Row],[Comisined DC ]]</f>
        <v>0.74733667956858529</v>
      </c>
      <c r="BU727" s="337">
        <f>BO727/BR727/Modelling[[#This Row],[Comisined DC ]]</f>
        <v>0.74060679975802102</v>
      </c>
      <c r="BV727" s="323">
        <f>BM727/(24*Modelling[[#This Row],[Comisined DC ]])</f>
        <v>0.21485929537596829</v>
      </c>
      <c r="BW727" s="323">
        <f>Modelling[[#This Row],[Target E_Grid MTD
MWh]]/Modelling[[#This Row],[MTD DC Capcity]]/(24*CG727)</f>
        <v>0.21485929537596826</v>
      </c>
      <c r="BX727" s="338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3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627</v>
      </c>
      <c r="F728" s="3" t="s">
        <v>627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323">
        <f t="shared" si="292"/>
        <v>0.67030734634295319</v>
      </c>
      <c r="Q728" s="337">
        <f t="shared" si="293"/>
        <v>0.67030734634295319</v>
      </c>
      <c r="R728" s="337">
        <f t="shared" si="294"/>
        <v>0.69182793930199216</v>
      </c>
      <c r="S728" s="323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338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627</v>
      </c>
      <c r="AD728" s="3" t="s">
        <v>627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323">
        <f t="shared" si="280"/>
        <v>0.90862338165413326</v>
      </c>
      <c r="AO728" s="323">
        <f t="shared" si="281"/>
        <v>0.90862338165413337</v>
      </c>
      <c r="AP728" s="323">
        <f t="shared" si="282"/>
        <v>0.87293264100492474</v>
      </c>
      <c r="AQ728" s="323">
        <f t="shared" si="283"/>
        <v>0.26122922222556338</v>
      </c>
      <c r="AR728" s="323">
        <f>Modelling_new[[#This Row],[Target E_Grid MTD
MWh]]/Modelling_new[[#This Row],[MTD DC Capcity]]/(24*CG728)</f>
        <v>0.23476139579553737</v>
      </c>
      <c r="AS728" s="323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627</v>
      </c>
      <c r="BI728" s="3" t="s">
        <v>627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323">
        <f>BM728/Modelling[[#This Row],[Comisined DC ]]/BP728</f>
        <v>0.74733667956858518</v>
      </c>
      <c r="BT728" s="337">
        <f>BN728/BQ728/Modelling[[#This Row],[Comisined DC ]]</f>
        <v>0.7473366795685854</v>
      </c>
      <c r="BU728" s="337">
        <f>BO728/BR728/Modelling[[#This Row],[Comisined DC ]]</f>
        <v>0.74062969050567606</v>
      </c>
      <c r="BV728" s="323">
        <f>BM728/(24*Modelling[[#This Row],[Comisined DC ]])</f>
        <v>0.21485929537596829</v>
      </c>
      <c r="BW728" s="323">
        <f>Modelling[[#This Row],[Target E_Grid MTD
MWh]]/Modelling[[#This Row],[MTD DC Capcity]]/(24*CG728)</f>
        <v>0.21485929537596826</v>
      </c>
      <c r="BX728" s="338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3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627</v>
      </c>
      <c r="F729" s="3" t="s">
        <v>627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323">
        <f t="shared" si="292"/>
        <v>0.67030734634295319</v>
      </c>
      <c r="Q729" s="337">
        <f t="shared" si="293"/>
        <v>0.67030734634295319</v>
      </c>
      <c r="R729" s="337">
        <f t="shared" si="294"/>
        <v>0.69175498813941916</v>
      </c>
      <c r="S729" s="323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338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627</v>
      </c>
      <c r="AD729" s="3" t="s">
        <v>627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323">
        <f t="shared" si="280"/>
        <v>0.90862338165413326</v>
      </c>
      <c r="AO729" s="323">
        <f t="shared" si="281"/>
        <v>0.90862338165413337</v>
      </c>
      <c r="AP729" s="323">
        <f t="shared" si="282"/>
        <v>0.87305362656644758</v>
      </c>
      <c r="AQ729" s="323">
        <f t="shared" si="283"/>
        <v>0.26122922222556338</v>
      </c>
      <c r="AR729" s="323">
        <f>Modelling_new[[#This Row],[Target E_Grid MTD
MWh]]/Modelling_new[[#This Row],[MTD DC Capcity]]/(24*CG729)</f>
        <v>0.2347613957955374</v>
      </c>
      <c r="AS729" s="323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627</v>
      </c>
      <c r="BI729" s="3" t="s">
        <v>627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323">
        <f>BM729/Modelling[[#This Row],[Comisined DC ]]/BP729</f>
        <v>0.74733667956858518</v>
      </c>
      <c r="BT729" s="337">
        <f>BN729/BQ729/Modelling[[#This Row],[Comisined DC ]]</f>
        <v>0.74733667956858529</v>
      </c>
      <c r="BU729" s="337">
        <f>BO729/BR729/Modelling[[#This Row],[Comisined DC ]]</f>
        <v>0.74065242606182158</v>
      </c>
      <c r="BV729" s="323">
        <f>BM729/(24*Modelling[[#This Row],[Comisined DC ]])</f>
        <v>0.21485929537596829</v>
      </c>
      <c r="BW729" s="323">
        <f>Modelling[[#This Row],[Target E_Grid MTD
MWh]]/Modelling[[#This Row],[MTD DC Capcity]]/(24*CG729)</f>
        <v>0.21485929537596829</v>
      </c>
      <c r="BX729" s="338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3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627</v>
      </c>
      <c r="F730" s="3" t="s">
        <v>627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323">
        <f t="shared" si="292"/>
        <v>0.67030734634295319</v>
      </c>
      <c r="Q730" s="337">
        <f t="shared" si="293"/>
        <v>0.67030734634295319</v>
      </c>
      <c r="R730" s="337">
        <f t="shared" si="294"/>
        <v>0.69168252989010681</v>
      </c>
      <c r="S730" s="323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338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627</v>
      </c>
      <c r="AD730" s="3" t="s">
        <v>627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323">
        <f t="shared" si="280"/>
        <v>0.90862338165413326</v>
      </c>
      <c r="AO730" s="323">
        <f t="shared" si="281"/>
        <v>0.90862338165413337</v>
      </c>
      <c r="AP730" s="323">
        <f t="shared" si="282"/>
        <v>0.87317379465795986</v>
      </c>
      <c r="AQ730" s="323">
        <f t="shared" si="283"/>
        <v>0.26122922222556338</v>
      </c>
      <c r="AR730" s="323">
        <f>Modelling_new[[#This Row],[Target E_Grid MTD
MWh]]/Modelling_new[[#This Row],[MTD DC Capcity]]/(24*CG730)</f>
        <v>0.23476139579553737</v>
      </c>
      <c r="AS730" s="323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627</v>
      </c>
      <c r="BI730" s="3" t="s">
        <v>627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323">
        <f>BM730/Modelling[[#This Row],[Comisined DC ]]/BP730</f>
        <v>0.74733667956858518</v>
      </c>
      <c r="BT730" s="337">
        <f>BN730/BQ730/Modelling[[#This Row],[Comisined DC ]]</f>
        <v>0.7473366795685854</v>
      </c>
      <c r="BU730" s="337">
        <f>BO730/BR730/Modelling[[#This Row],[Comisined DC ]]</f>
        <v>0.74067500799934427</v>
      </c>
      <c r="BV730" s="323">
        <f>BM730/(24*Modelling[[#This Row],[Comisined DC ]])</f>
        <v>0.21485929537596829</v>
      </c>
      <c r="BW730" s="323">
        <f>Modelling[[#This Row],[Target E_Grid MTD
MWh]]/Modelling[[#This Row],[MTD DC Capcity]]/(24*CG730)</f>
        <v>0.21485929537596837</v>
      </c>
      <c r="BX730" s="338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3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627</v>
      </c>
      <c r="F731" s="3" t="s">
        <v>627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323">
        <f t="shared" si="292"/>
        <v>0.67030734634295319</v>
      </c>
      <c r="Q731" s="337">
        <f t="shared" si="293"/>
        <v>0.67030734634295319</v>
      </c>
      <c r="R731" s="337">
        <f t="shared" si="294"/>
        <v>0.69161055957513318</v>
      </c>
      <c r="S731" s="323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338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627</v>
      </c>
      <c r="AD731" s="3" t="s">
        <v>627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323">
        <f t="shared" si="280"/>
        <v>0.90862338165413326</v>
      </c>
      <c r="AO731" s="323">
        <f t="shared" si="281"/>
        <v>0.90862338165413337</v>
      </c>
      <c r="AP731" s="323">
        <f t="shared" si="282"/>
        <v>0.87329315353673498</v>
      </c>
      <c r="AQ731" s="323">
        <f t="shared" si="283"/>
        <v>0.26122922222556338</v>
      </c>
      <c r="AR731" s="323">
        <f>Modelling_new[[#This Row],[Target E_Grid MTD
MWh]]/Modelling_new[[#This Row],[MTD DC Capcity]]/(24*CG731)</f>
        <v>0.23476139579553737</v>
      </c>
      <c r="AS731" s="323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627</v>
      </c>
      <c r="BI731" s="3" t="s">
        <v>627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323">
        <f>BM731/Modelling[[#This Row],[Comisined DC ]]/BP731</f>
        <v>0.74733667956858518</v>
      </c>
      <c r="BT731" s="337">
        <f>BN731/BQ731/Modelling[[#This Row],[Comisined DC ]]</f>
        <v>0.74733667956858529</v>
      </c>
      <c r="BU731" s="337">
        <f>BO731/BR731/Modelling[[#This Row],[Comisined DC ]]</f>
        <v>0.74069743786994779</v>
      </c>
      <c r="BV731" s="323">
        <f>BM731/(24*Modelling[[#This Row],[Comisined DC ]])</f>
        <v>0.21485929537596829</v>
      </c>
      <c r="BW731" s="323">
        <f>Modelling[[#This Row],[Target E_Grid MTD
MWh]]/Modelling[[#This Row],[MTD DC Capcity]]/(24*CG731)</f>
        <v>0.21485929537596832</v>
      </c>
      <c r="BX731" s="338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3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627</v>
      </c>
      <c r="F732" s="3" t="s">
        <v>627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323">
        <f t="shared" si="292"/>
        <v>0.67030734634295319</v>
      </c>
      <c r="Q732" s="337">
        <f t="shared" si="293"/>
        <v>0.67030734634295319</v>
      </c>
      <c r="R732" s="337">
        <f t="shared" si="294"/>
        <v>0.69153907228240774</v>
      </c>
      <c r="S732" s="323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338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627</v>
      </c>
      <c r="AD732" s="3" t="s">
        <v>627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323">
        <f t="shared" si="280"/>
        <v>0.90862338165413326</v>
      </c>
      <c r="AO732" s="323">
        <f t="shared" si="281"/>
        <v>0.90862338165413326</v>
      </c>
      <c r="AP732" s="323">
        <f t="shared" si="282"/>
        <v>0.87341171134920936</v>
      </c>
      <c r="AQ732" s="323">
        <f t="shared" si="283"/>
        <v>0.26122922222556338</v>
      </c>
      <c r="AR732" s="323">
        <f>Modelling_new[[#This Row],[Target E_Grid MTD
MWh]]/Modelling_new[[#This Row],[MTD DC Capcity]]/(24*CG732)</f>
        <v>0.23476139579553729</v>
      </c>
      <c r="AS732" s="323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627</v>
      </c>
      <c r="BI732" s="3" t="s">
        <v>627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323">
        <f>BM732/Modelling[[#This Row],[Comisined DC ]]/BP732</f>
        <v>0.74733667956858518</v>
      </c>
      <c r="BT732" s="337">
        <f>BN732/BQ732/Modelling[[#This Row],[Comisined DC ]]</f>
        <v>0.74733667956858529</v>
      </c>
      <c r="BU732" s="337">
        <f>BO732/BR732/Modelling[[#This Row],[Comisined DC ]]</f>
        <v>0.74071971720450702</v>
      </c>
      <c r="BV732" s="323">
        <f>BM732/(24*Modelling[[#This Row],[Comisined DC ]])</f>
        <v>0.21485929537596829</v>
      </c>
      <c r="BW732" s="323">
        <f>Modelling[[#This Row],[Target E_Grid MTD
MWh]]/Modelling[[#This Row],[MTD DC Capcity]]/(24*CG732)</f>
        <v>0.21485929537596837</v>
      </c>
      <c r="BX732" s="338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3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627</v>
      </c>
      <c r="F733" s="3" t="s">
        <v>627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323">
        <f t="shared" si="292"/>
        <v>0.67030734634295319</v>
      </c>
      <c r="Q733" s="337">
        <f t="shared" si="293"/>
        <v>0.67030734634295319</v>
      </c>
      <c r="R733" s="337">
        <f t="shared" si="294"/>
        <v>0.69146806316555331</v>
      </c>
      <c r="S733" s="323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338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627</v>
      </c>
      <c r="AD733" s="3" t="s">
        <v>627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323">
        <f t="shared" si="280"/>
        <v>0.90862338165413326</v>
      </c>
      <c r="AO733" s="323">
        <f t="shared" si="281"/>
        <v>0.90862338165413326</v>
      </c>
      <c r="AP733" s="323">
        <f t="shared" si="282"/>
        <v>0.87352947613283782</v>
      </c>
      <c r="AQ733" s="323">
        <f t="shared" si="283"/>
        <v>0.26122922222556338</v>
      </c>
      <c r="AR733" s="323">
        <f>Modelling_new[[#This Row],[Target E_Grid MTD
MWh]]/Modelling_new[[#This Row],[MTD DC Capcity]]/(24*CG733)</f>
        <v>0.23476139579553731</v>
      </c>
      <c r="AS733" s="323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627</v>
      </c>
      <c r="BI733" s="3" t="s">
        <v>627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323">
        <f>BM733/Modelling[[#This Row],[Comisined DC ]]/BP733</f>
        <v>0.74733667956858518</v>
      </c>
      <c r="BT733" s="337">
        <f>BN733/BQ733/Modelling[[#This Row],[Comisined DC ]]</f>
        <v>0.74733667956858529</v>
      </c>
      <c r="BU733" s="337">
        <f>BO733/BR733/Modelling[[#This Row],[Comisined DC ]]</f>
        <v>0.74074184751341698</v>
      </c>
      <c r="BV733" s="323">
        <f>BM733/(24*Modelling[[#This Row],[Comisined DC ]])</f>
        <v>0.21485929537596829</v>
      </c>
      <c r="BW733" s="323">
        <f>Modelling[[#This Row],[Target E_Grid MTD
MWh]]/Modelling[[#This Row],[MTD DC Capcity]]/(24*CG733)</f>
        <v>0.21485929537596837</v>
      </c>
      <c r="BX733" s="338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3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627</v>
      </c>
      <c r="F734" s="3" t="s">
        <v>627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323">
        <f t="shared" si="292"/>
        <v>0.67030734634295319</v>
      </c>
      <c r="Q734" s="337">
        <f t="shared" si="293"/>
        <v>0.67030734634295319</v>
      </c>
      <c r="R734" s="337">
        <f t="shared" si="294"/>
        <v>0.69139752744281124</v>
      </c>
      <c r="S734" s="323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338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627</v>
      </c>
      <c r="AD734" s="3" t="s">
        <v>627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323">
        <f t="shared" si="280"/>
        <v>0.90862338165413326</v>
      </c>
      <c r="AO734" s="323">
        <f t="shared" si="281"/>
        <v>0.90862338165413326</v>
      </c>
      <c r="AP734" s="323">
        <f t="shared" si="282"/>
        <v>0.87364645581790878</v>
      </c>
      <c r="AQ734" s="323">
        <f t="shared" si="283"/>
        <v>0.26122922222556338</v>
      </c>
      <c r="AR734" s="323">
        <f>Modelling_new[[#This Row],[Target E_Grid MTD
MWh]]/Modelling_new[[#This Row],[MTD DC Capcity]]/(24*CG734)</f>
        <v>0.23476139579553731</v>
      </c>
      <c r="AS734" s="323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627</v>
      </c>
      <c r="BI734" s="3" t="s">
        <v>627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323">
        <f>BM734/Modelling[[#This Row],[Comisined DC ]]/BP734</f>
        <v>0.74733667956858518</v>
      </c>
      <c r="BT734" s="337">
        <f>BN734/BQ734/Modelling[[#This Row],[Comisined DC ]]</f>
        <v>0.7473366795685854</v>
      </c>
      <c r="BU734" s="337">
        <f>BO734/BR734/Modelling[[#This Row],[Comisined DC ]]</f>
        <v>0.74076383028693404</v>
      </c>
      <c r="BV734" s="323">
        <f>BM734/(24*Modelling[[#This Row],[Comisined DC ]])</f>
        <v>0.21485929537596829</v>
      </c>
      <c r="BW734" s="323">
        <f>Modelling[[#This Row],[Target E_Grid MTD
MWh]]/Modelling[[#This Row],[MTD DC Capcity]]/(24*CG734)</f>
        <v>0.2148592953759684</v>
      </c>
      <c r="BX734" s="338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3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627</v>
      </c>
      <c r="F735" s="3" t="s">
        <v>627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323">
        <f t="shared" si="292"/>
        <v>0.67030734634295319</v>
      </c>
      <c r="Q735" s="337">
        <f t="shared" si="293"/>
        <v>0.67030734634295319</v>
      </c>
      <c r="R735" s="337">
        <f t="shared" si="294"/>
        <v>0.69132746039596771</v>
      </c>
      <c r="S735" s="323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338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627</v>
      </c>
      <c r="AD735" s="3" t="s">
        <v>627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323">
        <f t="shared" si="280"/>
        <v>0.90862338165413326</v>
      </c>
      <c r="AO735" s="323">
        <f t="shared" si="281"/>
        <v>0.90862338165413326</v>
      </c>
      <c r="AP735" s="323">
        <f t="shared" si="282"/>
        <v>0.87376265822932475</v>
      </c>
      <c r="AQ735" s="323">
        <f t="shared" si="283"/>
        <v>0.26122922222556338</v>
      </c>
      <c r="AR735" s="323">
        <f>Modelling_new[[#This Row],[Target E_Grid MTD
MWh]]/Modelling_new[[#This Row],[MTD DC Capcity]]/(24*CG735)</f>
        <v>0.23476139579553729</v>
      </c>
      <c r="AS735" s="323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627</v>
      </c>
      <c r="BI735" s="3" t="s">
        <v>627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323">
        <f>BM735/Modelling[[#This Row],[Comisined DC ]]/BP735</f>
        <v>0.74733667956858518</v>
      </c>
      <c r="BT735" s="337">
        <f>BN735/BQ735/Modelling[[#This Row],[Comisined DC ]]</f>
        <v>0.74733667956858529</v>
      </c>
      <c r="BU735" s="337">
        <f>BO735/BR735/Modelling[[#This Row],[Comisined DC ]]</f>
        <v>0.74078566699551085</v>
      </c>
      <c r="BV735" s="323">
        <f>BM735/(24*Modelling[[#This Row],[Comisined DC ]])</f>
        <v>0.21485929537596829</v>
      </c>
      <c r="BW735" s="323">
        <f>Modelling[[#This Row],[Target E_Grid MTD
MWh]]/Modelling[[#This Row],[MTD DC Capcity]]/(24*CG735)</f>
        <v>0.21485929537596846</v>
      </c>
      <c r="BX735" s="338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3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627</v>
      </c>
      <c r="F736" s="3" t="s">
        <v>627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323">
        <f t="shared" si="292"/>
        <v>0.67030734634295319</v>
      </c>
      <c r="Q736" s="337">
        <f t="shared" si="293"/>
        <v>0.67030734634295319</v>
      </c>
      <c r="R736" s="337">
        <f t="shared" si="294"/>
        <v>0.69125785736930201</v>
      </c>
      <c r="S736" s="323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338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627</v>
      </c>
      <c r="AD736" s="3" t="s">
        <v>627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323">
        <f t="shared" si="280"/>
        <v>0.90862338165413326</v>
      </c>
      <c r="AO736" s="323">
        <f t="shared" si="281"/>
        <v>0.90862338165413326</v>
      </c>
      <c r="AP736" s="323">
        <f t="shared" si="282"/>
        <v>0.87387809108834735</v>
      </c>
      <c r="AQ736" s="323">
        <f t="shared" si="283"/>
        <v>0.26122922222556338</v>
      </c>
      <c r="AR736" s="323">
        <f>Modelling_new[[#This Row],[Target E_Grid MTD
MWh]]/Modelling_new[[#This Row],[MTD DC Capcity]]/(24*CG736)</f>
        <v>0.23476139579553729</v>
      </c>
      <c r="AS736" s="323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627</v>
      </c>
      <c r="BI736" s="3" t="s">
        <v>627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323">
        <f>BM736/Modelling[[#This Row],[Comisined DC ]]/BP736</f>
        <v>0.74733667956858518</v>
      </c>
      <c r="BT736" s="337">
        <f>BN736/BQ736/Modelling[[#This Row],[Comisined DC ]]</f>
        <v>0.74733667956858507</v>
      </c>
      <c r="BU736" s="337">
        <f>BO736/BR736/Modelling[[#This Row],[Comisined DC ]]</f>
        <v>0.74080735909012374</v>
      </c>
      <c r="BV736" s="323">
        <f>BM736/(24*Modelling[[#This Row],[Comisined DC ]])</f>
        <v>0.21485929537596829</v>
      </c>
      <c r="BW736" s="323">
        <f>Modelling[[#This Row],[Target E_Grid MTD
MWh]]/Modelling[[#This Row],[MTD DC Capcity]]/(24*CG736)</f>
        <v>0.2148592953759684</v>
      </c>
      <c r="BX736" s="338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3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627</v>
      </c>
      <c r="F737" s="3" t="s">
        <v>627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323">
        <f t="shared" si="292"/>
        <v>0.67030734634295319</v>
      </c>
      <c r="Q737" s="337">
        <f t="shared" si="293"/>
        <v>0.67030734634295319</v>
      </c>
      <c r="R737" s="337">
        <f t="shared" si="294"/>
        <v>0.69118871376855484</v>
      </c>
      <c r="S737" s="323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338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627</v>
      </c>
      <c r="AD737" s="3" t="s">
        <v>627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323">
        <f t="shared" si="280"/>
        <v>0.90862338165413326</v>
      </c>
      <c r="AO737" s="323">
        <f t="shared" si="281"/>
        <v>0.90862338165413326</v>
      </c>
      <c r="AP737" s="323">
        <f t="shared" si="282"/>
        <v>0.87399276201430687</v>
      </c>
      <c r="AQ737" s="323">
        <f t="shared" si="283"/>
        <v>0.26122922222556338</v>
      </c>
      <c r="AR737" s="323">
        <f>Modelling_new[[#This Row],[Target E_Grid MTD
MWh]]/Modelling_new[[#This Row],[MTD DC Capcity]]/(24*CG737)</f>
        <v>0.23476139579553734</v>
      </c>
      <c r="AS737" s="323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627</v>
      </c>
      <c r="BI737" s="3" t="s">
        <v>627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323">
        <f>BM737/Modelling[[#This Row],[Comisined DC ]]/BP737</f>
        <v>0.74733667956858518</v>
      </c>
      <c r="BT737" s="337">
        <f>BN737/BQ737/Modelling[[#This Row],[Comisined DC ]]</f>
        <v>0.74733667956858529</v>
      </c>
      <c r="BU737" s="337">
        <f>BO737/BR737/Modelling[[#This Row],[Comisined DC ]]</f>
        <v>0.74082890800259393</v>
      </c>
      <c r="BV737" s="323">
        <f>BM737/(24*Modelling[[#This Row],[Comisined DC ]])</f>
        <v>0.21485929537596829</v>
      </c>
      <c r="BW737" s="323">
        <f>Modelling[[#This Row],[Target E_Grid MTD
MWh]]/Modelling[[#This Row],[MTD DC Capcity]]/(24*CG737)</f>
        <v>0.21485929537596843</v>
      </c>
      <c r="BX737" s="338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3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627</v>
      </c>
      <c r="F738" s="3" t="s">
        <v>627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323">
        <f t="shared" si="292"/>
        <v>0.67030734634295319</v>
      </c>
      <c r="Q738" s="337">
        <f t="shared" si="293"/>
        <v>0.67030734634295319</v>
      </c>
      <c r="R738" s="337">
        <f t="shared" si="294"/>
        <v>0.69112002505991788</v>
      </c>
      <c r="S738" s="323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338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627</v>
      </c>
      <c r="AD738" s="3" t="s">
        <v>627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323">
        <f t="shared" si="280"/>
        <v>0.90862338165413326</v>
      </c>
      <c r="AO738" s="323">
        <f t="shared" si="281"/>
        <v>0.90862338165413326</v>
      </c>
      <c r="AP738" s="323">
        <f t="shared" si="282"/>
        <v>0.8741066785262801</v>
      </c>
      <c r="AQ738" s="323">
        <f t="shared" si="283"/>
        <v>0.26122922222556338</v>
      </c>
      <c r="AR738" s="323">
        <f>Modelling_new[[#This Row],[Target E_Grid MTD
MWh]]/Modelling_new[[#This Row],[MTD DC Capcity]]/(24*CG738)</f>
        <v>0.23476139579553734</v>
      </c>
      <c r="AS738" s="323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627</v>
      </c>
      <c r="BI738" s="3" t="s">
        <v>627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323">
        <f>BM738/Modelling[[#This Row],[Comisined DC ]]/BP738</f>
        <v>0.74733667956858518</v>
      </c>
      <c r="BT738" s="337">
        <f>BN738/BQ738/Modelling[[#This Row],[Comisined DC ]]</f>
        <v>0.74733667956858529</v>
      </c>
      <c r="BU738" s="337">
        <f>BO738/BR738/Modelling[[#This Row],[Comisined DC ]]</f>
        <v>0.74085031514590294</v>
      </c>
      <c r="BV738" s="323">
        <f>BM738/(24*Modelling[[#This Row],[Comisined DC ]])</f>
        <v>0.21485929537596829</v>
      </c>
      <c r="BW738" s="323">
        <f>Modelling[[#This Row],[Target E_Grid MTD
MWh]]/Modelling[[#This Row],[MTD DC Capcity]]/(24*CG738)</f>
        <v>0.21485929537596846</v>
      </c>
      <c r="BX738" s="338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3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627</v>
      </c>
      <c r="F739" s="3" t="s">
        <v>627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323">
        <f t="shared" si="292"/>
        <v>0.67030734634295319</v>
      </c>
      <c r="Q739" s="337">
        <f t="shared" si="293"/>
        <v>0.67030734634295319</v>
      </c>
      <c r="R739" s="337">
        <f t="shared" si="294"/>
        <v>0.69105178676904255</v>
      </c>
      <c r="S739" s="323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338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627</v>
      </c>
      <c r="AD739" s="3" t="s">
        <v>627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323">
        <f t="shared" si="280"/>
        <v>0.90862338165413326</v>
      </c>
      <c r="AO739" s="323">
        <f t="shared" si="281"/>
        <v>0.90862338165413326</v>
      </c>
      <c r="AP739" s="323">
        <f t="shared" si="282"/>
        <v>0.87421984804473207</v>
      </c>
      <c r="AQ739" s="323">
        <f t="shared" si="283"/>
        <v>0.26122922222556338</v>
      </c>
      <c r="AR739" s="323">
        <f>Modelling_new[[#This Row],[Target E_Grid MTD
MWh]]/Modelling_new[[#This Row],[MTD DC Capcity]]/(24*CG739)</f>
        <v>0.23476139579553731</v>
      </c>
      <c r="AS739" s="323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627</v>
      </c>
      <c r="BI739" s="3" t="s">
        <v>627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323">
        <f>BM739/Modelling[[#This Row],[Comisined DC ]]/BP739</f>
        <v>0.74733667956858518</v>
      </c>
      <c r="BT739" s="337">
        <f>BN739/BQ739/Modelling[[#This Row],[Comisined DC ]]</f>
        <v>0.74733667956858529</v>
      </c>
      <c r="BU739" s="337">
        <f>BO739/BR739/Modelling[[#This Row],[Comisined DC ]]</f>
        <v>0.74087158191450175</v>
      </c>
      <c r="BV739" s="323">
        <f>BM739/(24*Modelling[[#This Row],[Comisined DC ]])</f>
        <v>0.21485929537596829</v>
      </c>
      <c r="BW739" s="323">
        <f>Modelling[[#This Row],[Target E_Grid MTD
MWh]]/Modelling[[#This Row],[MTD DC Capcity]]/(24*CG739)</f>
        <v>0.21485929537596848</v>
      </c>
      <c r="BX739" s="338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3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627</v>
      </c>
      <c r="F740" s="3" t="s">
        <v>627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323">
        <f t="shared" si="292"/>
        <v>0.67030734634295319</v>
      </c>
      <c r="Q740" s="337">
        <f t="shared" si="293"/>
        <v>0.67030734634295319</v>
      </c>
      <c r="R740" s="337">
        <f t="shared" si="294"/>
        <v>0.69098399448006831</v>
      </c>
      <c r="S740" s="323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338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627</v>
      </c>
      <c r="AD740" s="3" t="s">
        <v>627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323">
        <f t="shared" si="280"/>
        <v>0.90862338165413326</v>
      </c>
      <c r="AO740" s="323">
        <f t="shared" si="281"/>
        <v>0.90862338165413326</v>
      </c>
      <c r="AP740" s="323">
        <f t="shared" si="282"/>
        <v>0.87433227789312862</v>
      </c>
      <c r="AQ740" s="323">
        <f t="shared" si="283"/>
        <v>0.26122922222556338</v>
      </c>
      <c r="AR740" s="323">
        <f>Modelling_new[[#This Row],[Target E_Grid MTD
MWh]]/Modelling_new[[#This Row],[MTD DC Capcity]]/(24*CG740)</f>
        <v>0.23476139579553729</v>
      </c>
      <c r="AS740" s="323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627</v>
      </c>
      <c r="BI740" s="3" t="s">
        <v>627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323">
        <f>BM740/Modelling[[#This Row],[Comisined DC ]]/BP740</f>
        <v>0.74733667956858518</v>
      </c>
      <c r="BT740" s="337">
        <f>BN740/BQ740/Modelling[[#This Row],[Comisined DC ]]</f>
        <v>0.74733667956858529</v>
      </c>
      <c r="BU740" s="337">
        <f>BO740/BR740/Modelling[[#This Row],[Comisined DC ]]</f>
        <v>0.74089270968461318</v>
      </c>
      <c r="BV740" s="323">
        <f>BM740/(24*Modelling[[#This Row],[Comisined DC ]])</f>
        <v>0.21485929537596829</v>
      </c>
      <c r="BW740" s="323">
        <f>Modelling[[#This Row],[Target E_Grid MTD
MWh]]/Modelling[[#This Row],[MTD DC Capcity]]/(24*CG740)</f>
        <v>0.21485929537596846</v>
      </c>
      <c r="BX740" s="338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3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627</v>
      </c>
      <c r="F741" s="3" t="s">
        <v>627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323">
        <f t="shared" si="292"/>
        <v>0.67030734634295319</v>
      </c>
      <c r="Q741" s="337">
        <f t="shared" si="293"/>
        <v>0.67030734634295319</v>
      </c>
      <c r="R741" s="337">
        <f t="shared" si="294"/>
        <v>0.69091664383467044</v>
      </c>
      <c r="S741" s="323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338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627</v>
      </c>
      <c r="AD741" s="3" t="s">
        <v>627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323">
        <f t="shared" si="280"/>
        <v>0.90862338165413326</v>
      </c>
      <c r="AO741" s="323">
        <f t="shared" si="281"/>
        <v>0.90862338165413326</v>
      </c>
      <c r="AP741" s="323">
        <f t="shared" si="282"/>
        <v>0.87444397529951634</v>
      </c>
      <c r="AQ741" s="323">
        <f t="shared" si="283"/>
        <v>0.26122922222556338</v>
      </c>
      <c r="AR741" s="323">
        <f>Modelling_new[[#This Row],[Target E_Grid MTD
MWh]]/Modelling_new[[#This Row],[MTD DC Capcity]]/(24*CG741)</f>
        <v>0.23476139579553731</v>
      </c>
      <c r="AS741" s="323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627</v>
      </c>
      <c r="BI741" s="3" t="s">
        <v>627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323">
        <f>BM741/Modelling[[#This Row],[Comisined DC ]]/BP741</f>
        <v>0.74733667956858518</v>
      </c>
      <c r="BT741" s="337">
        <f>BN741/BQ741/Modelling[[#This Row],[Comisined DC ]]</f>
        <v>0.74733667956858529</v>
      </c>
      <c r="BU741" s="337">
        <f>BO741/BR741/Modelling[[#This Row],[Comisined DC ]]</f>
        <v>0.74091369981452837</v>
      </c>
      <c r="BV741" s="323">
        <f>BM741/(24*Modelling[[#This Row],[Comisined DC ]])</f>
        <v>0.21485929537596829</v>
      </c>
      <c r="BW741" s="323">
        <f>Modelling[[#This Row],[Target E_Grid MTD
MWh]]/Modelling[[#This Row],[MTD DC Capcity]]/(24*CG741)</f>
        <v>0.21485929537596848</v>
      </c>
      <c r="BX741" s="338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3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627</v>
      </c>
      <c r="F742" s="3" t="s">
        <v>627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323">
        <f t="shared" si="292"/>
        <v>0.67030734634295319</v>
      </c>
      <c r="Q742" s="337">
        <f t="shared" si="293"/>
        <v>0.67030734634295319</v>
      </c>
      <c r="R742" s="337">
        <f t="shared" si="294"/>
        <v>0.69084973053112586</v>
      </c>
      <c r="S742" s="323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338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627</v>
      </c>
      <c r="AD742" s="3" t="s">
        <v>627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323">
        <f t="shared" si="280"/>
        <v>0.90862338165413326</v>
      </c>
      <c r="AO742" s="323">
        <f t="shared" si="281"/>
        <v>0.90862338165413326</v>
      </c>
      <c r="AP742" s="323">
        <f t="shared" si="282"/>
        <v>0.87455494739807027</v>
      </c>
      <c r="AQ742" s="323">
        <f t="shared" si="283"/>
        <v>0.26122922222556338</v>
      </c>
      <c r="AR742" s="323">
        <f>Modelling_new[[#This Row],[Target E_Grid MTD
MWh]]/Modelling_new[[#This Row],[MTD DC Capcity]]/(24*CG742)</f>
        <v>0.23476139579553731</v>
      </c>
      <c r="AS742" s="323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627</v>
      </c>
      <c r="BI742" s="3" t="s">
        <v>627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323">
        <f>BM742/Modelling[[#This Row],[Comisined DC ]]/BP742</f>
        <v>0.74733667956858518</v>
      </c>
      <c r="BT742" s="337">
        <f>BN742/BQ742/Modelling[[#This Row],[Comisined DC ]]</f>
        <v>0.74733667956858529</v>
      </c>
      <c r="BU742" s="337">
        <f>BO742/BR742/Modelling[[#This Row],[Comisined DC ]]</f>
        <v>0.74093455364489857</v>
      </c>
      <c r="BV742" s="323">
        <f>BM742/(24*Modelling[[#This Row],[Comisined DC ]])</f>
        <v>0.21485929537596829</v>
      </c>
      <c r="BW742" s="323">
        <f>Modelling[[#This Row],[Target E_Grid MTD
MWh]]/Modelling[[#This Row],[MTD DC Capcity]]/(24*CG742)</f>
        <v>0.21485929537596851</v>
      </c>
      <c r="BX742" s="338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3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627</v>
      </c>
      <c r="F743" s="3" t="s">
        <v>627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323">
        <f t="shared" si="292"/>
        <v>0.67030734634295319</v>
      </c>
      <c r="Q743" s="337">
        <f t="shared" si="293"/>
        <v>0.67030734634295319</v>
      </c>
      <c r="R743" s="337">
        <f t="shared" si="294"/>
        <v>0.69078325032339705</v>
      </c>
      <c r="S743" s="323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338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627</v>
      </c>
      <c r="AD743" s="3" t="s">
        <v>627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323">
        <f t="shared" si="280"/>
        <v>0.90862338165413326</v>
      </c>
      <c r="AO743" s="323">
        <f t="shared" si="281"/>
        <v>0.90862338165413326</v>
      </c>
      <c r="AP743" s="323">
        <f t="shared" si="282"/>
        <v>0.87466520123061409</v>
      </c>
      <c r="AQ743" s="323">
        <f t="shared" si="283"/>
        <v>0.26122922222556338</v>
      </c>
      <c r="AR743" s="323">
        <f>Modelling_new[[#This Row],[Target E_Grid MTD
MWh]]/Modelling_new[[#This Row],[MTD DC Capcity]]/(24*CG743)</f>
        <v>0.23476139579553731</v>
      </c>
      <c r="AS743" s="323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627</v>
      </c>
      <c r="BI743" s="3" t="s">
        <v>627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323">
        <f>BM743/Modelling[[#This Row],[Comisined DC ]]/BP743</f>
        <v>0.74733667956858518</v>
      </c>
      <c r="BT743" s="337">
        <f>BN743/BQ743/Modelling[[#This Row],[Comisined DC ]]</f>
        <v>0.74733667956858529</v>
      </c>
      <c r="BU743" s="337">
        <f>BO743/BR743/Modelling[[#This Row],[Comisined DC ]]</f>
        <v>0.74095527249902038</v>
      </c>
      <c r="BV743" s="323">
        <f>BM743/(24*Modelling[[#This Row],[Comisined DC ]])</f>
        <v>0.21485929537596829</v>
      </c>
      <c r="BW743" s="323">
        <f>Modelling[[#This Row],[Target E_Grid MTD
MWh]]/Modelling[[#This Row],[MTD DC Capcity]]/(24*CG743)</f>
        <v>0.21485929537596851</v>
      </c>
      <c r="BX743" s="338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3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627</v>
      </c>
      <c r="F744" s="3" t="s">
        <v>627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323">
        <f t="shared" si="292"/>
        <v>0.67030734634295319</v>
      </c>
      <c r="Q744" s="337">
        <f t="shared" si="293"/>
        <v>0.67030734634295319</v>
      </c>
      <c r="R744" s="337">
        <f t="shared" si="294"/>
        <v>0.69071719902023421</v>
      </c>
      <c r="S744" s="323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338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627</v>
      </c>
      <c r="AD744" s="3" t="s">
        <v>627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323">
        <f t="shared" si="280"/>
        <v>0.90862338165413326</v>
      </c>
      <c r="AO744" s="323">
        <f t="shared" si="281"/>
        <v>0.90862338165413326</v>
      </c>
      <c r="AP744" s="323">
        <f t="shared" si="282"/>
        <v>0.87477474374810926</v>
      </c>
      <c r="AQ744" s="323">
        <f t="shared" si="283"/>
        <v>0.26122922222556338</v>
      </c>
      <c r="AR744" s="323">
        <f>Modelling_new[[#This Row],[Target E_Grid MTD
MWh]]/Modelling_new[[#This Row],[MTD DC Capcity]]/(24*CG744)</f>
        <v>0.23476139579553731</v>
      </c>
      <c r="AS744" s="323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627</v>
      </c>
      <c r="BI744" s="3" t="s">
        <v>627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323">
        <f>BM744/Modelling[[#This Row],[Comisined DC ]]/BP744</f>
        <v>0.74733667956858518</v>
      </c>
      <c r="BT744" s="337">
        <f>BN744/BQ744/Modelling[[#This Row],[Comisined DC ]]</f>
        <v>0.74733667956858529</v>
      </c>
      <c r="BU744" s="337">
        <f>BO744/BR744/Modelling[[#This Row],[Comisined DC ]]</f>
        <v>0.7409758576831158</v>
      </c>
      <c r="BV744" s="323">
        <f>BM744/(24*Modelling[[#This Row],[Comisined DC ]])</f>
        <v>0.21485929537596829</v>
      </c>
      <c r="BW744" s="323">
        <f>Modelling[[#This Row],[Target E_Grid MTD
MWh]]/Modelling[[#This Row],[MTD DC Capcity]]/(24*CG744)</f>
        <v>0.21485929537596848</v>
      </c>
      <c r="BX744" s="338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3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627</v>
      </c>
      <c r="F745" s="3" t="s">
        <v>627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323">
        <f t="shared" si="292"/>
        <v>0.67030734634295319</v>
      </c>
      <c r="Q745" s="337">
        <f t="shared" si="293"/>
        <v>0.67030734634295319</v>
      </c>
      <c r="R745" s="337">
        <f t="shared" si="294"/>
        <v>0.69065157248429432</v>
      </c>
      <c r="S745" s="323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338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627</v>
      </c>
      <c r="AD745" s="3" t="s">
        <v>627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323">
        <f t="shared" si="280"/>
        <v>0.90862338165413326</v>
      </c>
      <c r="AO745" s="323">
        <f t="shared" si="281"/>
        <v>0.90862338165413326</v>
      </c>
      <c r="AP745" s="323">
        <f t="shared" si="282"/>
        <v>0.87488358181211578</v>
      </c>
      <c r="AQ745" s="323">
        <f t="shared" si="283"/>
        <v>0.26122922222556338</v>
      </c>
      <c r="AR745" s="323">
        <f>Modelling_new[[#This Row],[Target E_Grid MTD
MWh]]/Modelling_new[[#This Row],[MTD DC Capcity]]/(24*CG745)</f>
        <v>0.23476139579553729</v>
      </c>
      <c r="AS745" s="323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627</v>
      </c>
      <c r="BI745" s="3" t="s">
        <v>627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323">
        <f>BM745/Modelling[[#This Row],[Comisined DC ]]/BP745</f>
        <v>0.74733667956858518</v>
      </c>
      <c r="BT745" s="337">
        <f>BN745/BQ745/Modelling[[#This Row],[Comisined DC ]]</f>
        <v>0.74733667956858529</v>
      </c>
      <c r="BU745" s="337">
        <f>BO745/BR745/Modelling[[#This Row],[Comisined DC ]]</f>
        <v>0.74099631048660597</v>
      </c>
      <c r="BV745" s="323">
        <f>BM745/(24*Modelling[[#This Row],[Comisined DC ]])</f>
        <v>0.21485929537596829</v>
      </c>
      <c r="BW745" s="323">
        <f>Modelling[[#This Row],[Target E_Grid MTD
MWh]]/Modelling[[#This Row],[MTD DC Capcity]]/(24*CG745)</f>
        <v>0.21485929537596854</v>
      </c>
      <c r="BX745" s="338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3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627</v>
      </c>
      <c r="F746" s="3" t="s">
        <v>627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323">
        <f t="shared" si="292"/>
        <v>0.67030734634295319</v>
      </c>
      <c r="Q746" s="337">
        <f t="shared" si="293"/>
        <v>0.67030734634295319</v>
      </c>
      <c r="R746" s="337">
        <f t="shared" si="294"/>
        <v>0.69058636663127715</v>
      </c>
      <c r="S746" s="323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338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627</v>
      </c>
      <c r="AD746" s="3" t="s">
        <v>627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323">
        <f t="shared" si="280"/>
        <v>0.90862338165413326</v>
      </c>
      <c r="AO746" s="323">
        <f t="shared" si="281"/>
        <v>0.90862338165413326</v>
      </c>
      <c r="AP746" s="323">
        <f t="shared" si="282"/>
        <v>0.87499172219622479</v>
      </c>
      <c r="AQ746" s="323">
        <f t="shared" si="283"/>
        <v>0.26122922222556338</v>
      </c>
      <c r="AR746" s="323">
        <f>Modelling_new[[#This Row],[Target E_Grid MTD
MWh]]/Modelling_new[[#This Row],[MTD DC Capcity]]/(24*CG746)</f>
        <v>0.23476139579553729</v>
      </c>
      <c r="AS746" s="323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627</v>
      </c>
      <c r="BI746" s="3" t="s">
        <v>627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323">
        <f>BM746/Modelling[[#This Row],[Comisined DC ]]/BP746</f>
        <v>0.74733667956858518</v>
      </c>
      <c r="BT746" s="337">
        <f>BN746/BQ746/Modelling[[#This Row],[Comisined DC ]]</f>
        <v>0.74733667956858529</v>
      </c>
      <c r="BU746" s="337">
        <f>BO746/BR746/Modelling[[#This Row],[Comisined DC ]]</f>
        <v>0.74101663218238145</v>
      </c>
      <c r="BV746" s="323">
        <f>BM746/(24*Modelling[[#This Row],[Comisined DC ]])</f>
        <v>0.21485929537596829</v>
      </c>
      <c r="BW746" s="323">
        <f>Modelling[[#This Row],[Target E_Grid MTD
MWh]]/Modelling[[#This Row],[MTD DC Capcity]]/(24*CG746)</f>
        <v>0.21485929537596854</v>
      </c>
      <c r="BX746" s="338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3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627</v>
      </c>
      <c r="F747" s="3" t="s">
        <v>627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323">
        <f t="shared" si="292"/>
        <v>0.67030734634295319</v>
      </c>
      <c r="Q747" s="337">
        <f t="shared" si="293"/>
        <v>0.67030734634295319</v>
      </c>
      <c r="R747" s="337">
        <f t="shared" si="294"/>
        <v>0.69052157742907783</v>
      </c>
      <c r="S747" s="323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338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627</v>
      </c>
      <c r="AD747" s="3" t="s">
        <v>627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323">
        <f t="shared" si="280"/>
        <v>0.90862338165413326</v>
      </c>
      <c r="AO747" s="323">
        <f t="shared" si="281"/>
        <v>0.90862338165413326</v>
      </c>
      <c r="AP747" s="323">
        <f t="shared" si="282"/>
        <v>0.87509917158746398</v>
      </c>
      <c r="AQ747" s="323">
        <f t="shared" si="283"/>
        <v>0.26122922222556338</v>
      </c>
      <c r="AR747" s="323">
        <f>Modelling_new[[#This Row],[Target E_Grid MTD
MWh]]/Modelling_new[[#This Row],[MTD DC Capcity]]/(24*CG747)</f>
        <v>0.23476139579553729</v>
      </c>
      <c r="AS747" s="323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627</v>
      </c>
      <c r="BI747" s="3" t="s">
        <v>627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323">
        <f>BM747/Modelling[[#This Row],[Comisined DC ]]/BP747</f>
        <v>0.74733667956858518</v>
      </c>
      <c r="BT747" s="337">
        <f>BN747/BQ747/Modelling[[#This Row],[Comisined DC ]]</f>
        <v>0.74733667956858529</v>
      </c>
      <c r="BU747" s="337">
        <f>BO747/BR747/Modelling[[#This Row],[Comisined DC ]]</f>
        <v>0.74103682402706561</v>
      </c>
      <c r="BV747" s="323">
        <f>BM747/(24*Modelling[[#This Row],[Comisined DC ]])</f>
        <v>0.21485929537596829</v>
      </c>
      <c r="BW747" s="323">
        <f>Modelling[[#This Row],[Target E_Grid MTD
MWh]]/Modelling[[#This Row],[MTD DC Capcity]]/(24*CG747)</f>
        <v>0.21485929537596854</v>
      </c>
      <c r="BX747" s="338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3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627</v>
      </c>
      <c r="F748" s="3" t="s">
        <v>627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323">
        <f t="shared" si="292"/>
        <v>0.67030734634295319</v>
      </c>
      <c r="Q748" s="337">
        <f t="shared" si="293"/>
        <v>0.67030734634295319</v>
      </c>
      <c r="R748" s="337">
        <f t="shared" si="294"/>
        <v>0.69045720089695639</v>
      </c>
      <c r="S748" s="323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338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627</v>
      </c>
      <c r="AD748" s="3" t="s">
        <v>627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323">
        <f t="shared" si="280"/>
        <v>0.90862338165413326</v>
      </c>
      <c r="AO748" s="323">
        <f t="shared" si="281"/>
        <v>0.90862338165413326</v>
      </c>
      <c r="AP748" s="323">
        <f t="shared" si="282"/>
        <v>0.87520593658767631</v>
      </c>
      <c r="AQ748" s="323">
        <f t="shared" si="283"/>
        <v>0.26122922222556338</v>
      </c>
      <c r="AR748" s="323">
        <f>Modelling_new[[#This Row],[Target E_Grid MTD
MWh]]/Modelling_new[[#This Row],[MTD DC Capcity]]/(24*CG748)</f>
        <v>0.23476139579553729</v>
      </c>
      <c r="AS748" s="323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627</v>
      </c>
      <c r="BI748" s="3" t="s">
        <v>627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323">
        <f>BM748/Modelling[[#This Row],[Comisined DC ]]/BP748</f>
        <v>0.74733667956858518</v>
      </c>
      <c r="BT748" s="337">
        <f>BN748/BQ748/Modelling[[#This Row],[Comisined DC ]]</f>
        <v>0.74733667956858529</v>
      </c>
      <c r="BU748" s="337">
        <f>BO748/BR748/Modelling[[#This Row],[Comisined DC ]]</f>
        <v>0.74105688726127439</v>
      </c>
      <c r="BV748" s="323">
        <f>BM748/(24*Modelling[[#This Row],[Comisined DC ]])</f>
        <v>0.21485929537596829</v>
      </c>
      <c r="BW748" s="323">
        <f>Modelling[[#This Row],[Target E_Grid MTD
MWh]]/Modelling[[#This Row],[MTD DC Capcity]]/(24*CG748)</f>
        <v>0.21485929537596851</v>
      </c>
      <c r="BX748" s="338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8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V135"/>
  <sheetViews>
    <sheetView zoomScaleNormal="100" workbookViewId="0">
      <pane xSplit="8" ySplit="3" topLeftCell="BM4" activePane="bottomRight" state="frozen"/>
      <selection pane="topRight" activeCell="H3" sqref="H3"/>
      <selection pane="bottomLeft" activeCell="A4" sqref="A4"/>
      <selection pane="bottomRight" activeCell="BN1" sqref="BN1:BP1"/>
    </sheetView>
  </sheetViews>
  <sheetFormatPr defaultColWidth="8.81640625" defaultRowHeight="21.75" customHeight="1" x14ac:dyDescent="0.35"/>
  <cols>
    <col min="1" max="1" width="12" customWidth="1"/>
    <col min="2" max="2" width="10.81640625" customWidth="1"/>
    <col min="3" max="3" width="9.81640625" style="2" customWidth="1"/>
    <col min="4" max="5" width="12.1796875" style="2" customWidth="1"/>
    <col min="6" max="7" width="9" style="2" customWidth="1"/>
    <col min="9" max="9" width="9" style="2" customWidth="1"/>
    <col min="10" max="10" width="9.1796875" customWidth="1"/>
    <col min="11" max="11" width="9.26953125" style="2" customWidth="1"/>
    <col min="12" max="20" width="9" style="2" customWidth="1"/>
    <col min="21" max="21" width="10.81640625" style="2" customWidth="1"/>
    <col min="22" max="28" width="10.1796875" style="2" customWidth="1"/>
    <col min="29" max="30" width="9" style="2" customWidth="1"/>
    <col min="31" max="31" width="12.81640625" style="2" customWidth="1"/>
    <col min="32" max="32" width="9.81640625" style="2" customWidth="1"/>
    <col min="33" max="33" width="9" style="2" customWidth="1"/>
    <col min="34" max="34" width="13" style="2" customWidth="1"/>
    <col min="35" max="38" width="9" style="2" customWidth="1"/>
    <col min="39" max="39" width="12.81640625" style="2" customWidth="1"/>
    <col min="40" max="40" width="13.453125" style="2" customWidth="1"/>
    <col min="41" max="41" width="15.1796875" style="2" customWidth="1"/>
    <col min="42" max="42" width="14.81640625" style="2" customWidth="1"/>
    <col min="43" max="43" width="19.81640625" style="2" customWidth="1"/>
    <col min="44" max="44" width="9.81640625" style="2" customWidth="1"/>
    <col min="45" max="45" width="11.81640625" style="2" customWidth="1"/>
    <col min="46" max="47" width="9.81640625" style="2" customWidth="1"/>
    <col min="48" max="48" width="21.453125" style="2" customWidth="1"/>
    <col min="49" max="49" width="22.453125" style="2" customWidth="1"/>
    <col min="50" max="50" width="23.1796875" style="2" customWidth="1"/>
    <col min="51" max="51" width="17.453125" style="2" customWidth="1"/>
    <col min="52" max="52" width="12" style="2" customWidth="1"/>
    <col min="53" max="53" width="9.81640625" style="2" customWidth="1"/>
    <col min="54" max="54" width="11.81640625" style="2" customWidth="1"/>
    <col min="55" max="55" width="14" style="2" customWidth="1"/>
    <col min="56" max="56" width="13.81640625" style="2" customWidth="1"/>
    <col min="57" max="57" width="11.1796875" style="2" customWidth="1"/>
    <col min="58" max="61" width="12.1796875" style="2" customWidth="1"/>
    <col min="62" max="62" width="14.81640625" style="2" customWidth="1"/>
    <col min="63" max="63" width="11.453125" style="2" customWidth="1"/>
    <col min="64" max="64" width="14" style="2" customWidth="1"/>
    <col min="65" max="65" width="20.1796875" style="2" customWidth="1"/>
    <col min="66" max="66" width="22.453125" customWidth="1"/>
    <col min="67" max="67" width="16.81640625" customWidth="1"/>
    <col min="68" max="68" width="20.453125" customWidth="1"/>
    <col min="69" max="69" width="24.1796875" customWidth="1"/>
    <col min="71" max="71" width="9.1796875" customWidth="1"/>
  </cols>
  <sheetData>
    <row r="1" spans="1:70" ht="21.75" customHeight="1" x14ac:dyDescent="0.3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1"/>
      <c r="BH1" s="221"/>
      <c r="BI1" s="221"/>
      <c r="BJ1" s="221"/>
      <c r="BK1" s="221"/>
      <c r="BM1" s="221"/>
    </row>
    <row r="2" spans="1:70" ht="21.75" customHeight="1" x14ac:dyDescent="0.3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35">
      <c r="A3" s="77" t="s">
        <v>72</v>
      </c>
      <c r="B3" s="76" t="s">
        <v>116</v>
      </c>
      <c r="C3" s="76" t="s">
        <v>118</v>
      </c>
      <c r="D3" s="76" t="s">
        <v>119</v>
      </c>
      <c r="E3" s="76" t="s">
        <v>120</v>
      </c>
      <c r="F3" s="76" t="s">
        <v>75</v>
      </c>
      <c r="G3" s="76" t="s">
        <v>40</v>
      </c>
      <c r="H3" s="77" t="s">
        <v>628</v>
      </c>
      <c r="I3" s="76" t="s">
        <v>145</v>
      </c>
      <c r="J3" s="76" t="s">
        <v>146</v>
      </c>
      <c r="K3" s="76" t="s">
        <v>121</v>
      </c>
      <c r="L3" s="76" t="s">
        <v>122</v>
      </c>
      <c r="M3" s="76" t="s">
        <v>123</v>
      </c>
      <c r="N3" s="76" t="s">
        <v>124</v>
      </c>
      <c r="O3" s="76" t="s">
        <v>125</v>
      </c>
      <c r="P3" s="76" t="s">
        <v>126</v>
      </c>
      <c r="Q3" s="76" t="s">
        <v>127</v>
      </c>
      <c r="R3" s="76" t="s">
        <v>128</v>
      </c>
      <c r="S3" s="76" t="s">
        <v>129</v>
      </c>
      <c r="T3" s="76" t="s">
        <v>130</v>
      </c>
      <c r="U3" s="76" t="s">
        <v>131</v>
      </c>
      <c r="V3" s="76" t="s">
        <v>132</v>
      </c>
      <c r="W3" s="76" t="s">
        <v>133</v>
      </c>
      <c r="X3" s="76" t="s">
        <v>134</v>
      </c>
      <c r="Y3" s="76" t="s">
        <v>135</v>
      </c>
      <c r="Z3" s="76" t="s">
        <v>136</v>
      </c>
      <c r="AA3" s="76" t="s">
        <v>137</v>
      </c>
      <c r="AB3" s="76" t="s">
        <v>138</v>
      </c>
      <c r="AC3" s="76" t="s">
        <v>139</v>
      </c>
      <c r="AD3" s="76" t="s">
        <v>479</v>
      </c>
      <c r="AE3" s="76" t="s">
        <v>629</v>
      </c>
      <c r="AF3" s="76" t="s">
        <v>630</v>
      </c>
      <c r="AG3" s="76" t="s">
        <v>631</v>
      </c>
      <c r="AH3" s="76" t="s">
        <v>632</v>
      </c>
      <c r="AI3" s="76" t="s">
        <v>633</v>
      </c>
      <c r="AJ3" s="76" t="s">
        <v>634</v>
      </c>
      <c r="AK3" s="76" t="s">
        <v>635</v>
      </c>
      <c r="AL3" s="76" t="s">
        <v>636</v>
      </c>
      <c r="AM3" s="76" t="s">
        <v>637</v>
      </c>
      <c r="AN3" s="76" t="s">
        <v>638</v>
      </c>
      <c r="AO3" s="76" t="s">
        <v>639</v>
      </c>
      <c r="AP3" s="76" t="s">
        <v>640</v>
      </c>
      <c r="AQ3" s="76" t="s">
        <v>641</v>
      </c>
      <c r="AR3" s="76" t="s">
        <v>642</v>
      </c>
      <c r="AS3" s="76" t="s">
        <v>36</v>
      </c>
      <c r="AT3" s="76" t="s">
        <v>34</v>
      </c>
      <c r="AU3" s="76" t="s">
        <v>35</v>
      </c>
      <c r="AV3" s="76" t="s">
        <v>643</v>
      </c>
      <c r="AW3" s="76" t="s">
        <v>644</v>
      </c>
      <c r="AX3" s="76" t="s">
        <v>645</v>
      </c>
      <c r="AY3" s="76" t="s">
        <v>646</v>
      </c>
      <c r="AZ3" s="76" t="s">
        <v>647</v>
      </c>
      <c r="BA3" s="76" t="s">
        <v>648</v>
      </c>
      <c r="BB3" s="76" t="s">
        <v>649</v>
      </c>
      <c r="BC3" s="76" t="s">
        <v>650</v>
      </c>
      <c r="BD3" s="76" t="s">
        <v>651</v>
      </c>
      <c r="BE3" s="76" t="s">
        <v>652</v>
      </c>
      <c r="BF3" s="76" t="s">
        <v>653</v>
      </c>
      <c r="BG3" s="76" t="s">
        <v>654</v>
      </c>
      <c r="BH3" s="76" t="s">
        <v>655</v>
      </c>
      <c r="BI3" s="76" t="s">
        <v>656</v>
      </c>
      <c r="BJ3" s="76" t="s">
        <v>657</v>
      </c>
      <c r="BK3" s="76" t="s">
        <v>658</v>
      </c>
      <c r="BL3" s="78" t="s">
        <v>659</v>
      </c>
      <c r="BM3" s="78" t="s">
        <v>660</v>
      </c>
      <c r="BN3" s="76" t="s">
        <v>661</v>
      </c>
      <c r="BO3" s="76" t="s">
        <v>662</v>
      </c>
      <c r="BP3" s="76" t="s">
        <v>663</v>
      </c>
      <c r="BQ3" s="76" t="s">
        <v>664</v>
      </c>
      <c r="BR3" s="76" t="s">
        <v>76</v>
      </c>
    </row>
    <row r="4" spans="1:70" ht="15" customHeight="1" x14ac:dyDescent="0.3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3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>IF(AND(BC5="",BE5=""),"",(((BC5-BC4)*MF_Cap_HCCB)+((BE5-BE4)*MF_Cap_Pepsico)))</f>
        <v>40485</v>
      </c>
      <c r="BO5">
        <f t="shared" ref="BO5:BO20" si="4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5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3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ref="BN6:BN20" si="6">IF(AND(BC6="",BE6=""),"",(((BC6-BC5)*MF_Cap_HCCB)+((BE6-BE5)*MF_Cap_Pepsico)))</f>
        <v>38460</v>
      </c>
      <c r="BO6">
        <f t="shared" si="4"/>
        <v>270</v>
      </c>
      <c r="BP6" s="185">
        <f t="shared" ref="BP6:BP37" si="7">IF(AND(BG6="",BI6=""),"",(((BG6-BG5)*MF_Cap_O2RE6)+((BI6-BI5)*MF_Cap_O2RE10)))</f>
        <v>50250</v>
      </c>
      <c r="BQ6" s="185">
        <f t="shared" si="5"/>
        <v>808.8</v>
      </c>
      <c r="BR6" s="185">
        <f t="shared" si="2"/>
        <v>10.799999999999999</v>
      </c>
    </row>
    <row r="7" spans="1:70" ht="15" customHeight="1" x14ac:dyDescent="0.3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6"/>
        <v>29820</v>
      </c>
      <c r="BO7">
        <f t="shared" si="4"/>
        <v>270</v>
      </c>
      <c r="BP7" s="185">
        <f t="shared" si="7"/>
        <v>45090</v>
      </c>
      <c r="BQ7" s="185">
        <f t="shared" si="5"/>
        <v>719.1</v>
      </c>
      <c r="BR7" s="185">
        <f t="shared" si="2"/>
        <v>10.766666666666666</v>
      </c>
    </row>
    <row r="8" spans="1:70" ht="15" customHeight="1" x14ac:dyDescent="0.3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6"/>
        <v>21315</v>
      </c>
      <c r="BO8">
        <f t="shared" si="4"/>
        <v>255</v>
      </c>
      <c r="BP8" s="185">
        <f t="shared" si="7"/>
        <v>69930</v>
      </c>
      <c r="BQ8" s="185">
        <f t="shared" si="5"/>
        <v>988.2</v>
      </c>
      <c r="BR8" s="185">
        <f t="shared" si="2"/>
        <v>10.95</v>
      </c>
    </row>
    <row r="9" spans="1:70" ht="15" customHeight="1" x14ac:dyDescent="0.3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6"/>
        <v>48975</v>
      </c>
      <c r="BO9">
        <f t="shared" si="4"/>
        <v>210</v>
      </c>
      <c r="BP9" s="185">
        <f t="shared" si="7"/>
        <v>66990</v>
      </c>
      <c r="BQ9" s="185">
        <f t="shared" si="5"/>
        <v>748.8</v>
      </c>
      <c r="BR9" s="185">
        <f t="shared" si="2"/>
        <v>11.483333333333333</v>
      </c>
    </row>
    <row r="10" spans="1:70" ht="15" customHeight="1" x14ac:dyDescent="0.3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6"/>
        <v>54705</v>
      </c>
      <c r="BO10">
        <f t="shared" si="4"/>
        <v>270</v>
      </c>
      <c r="BP10" s="185">
        <f t="shared" si="7"/>
        <v>62880</v>
      </c>
      <c r="BQ10" s="185">
        <f t="shared" si="5"/>
        <v>718.8</v>
      </c>
      <c r="BR10" s="185">
        <f t="shared" si="2"/>
        <v>11.766666666666667</v>
      </c>
    </row>
    <row r="11" spans="1:70" ht="15" customHeight="1" x14ac:dyDescent="0.3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6"/>
        <v>54555</v>
      </c>
      <c r="BO11">
        <f t="shared" si="4"/>
        <v>315</v>
      </c>
      <c r="BP11" s="185">
        <f t="shared" si="7"/>
        <v>55050</v>
      </c>
      <c r="BQ11" s="185">
        <f t="shared" si="5"/>
        <v>718.8</v>
      </c>
      <c r="BR11" s="185">
        <f t="shared" si="2"/>
        <v>11.749999999999998</v>
      </c>
    </row>
    <row r="12" spans="1:70" ht="15" customHeight="1" x14ac:dyDescent="0.3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6"/>
        <v>55770</v>
      </c>
      <c r="BO12">
        <f t="shared" si="4"/>
        <v>165</v>
      </c>
      <c r="BP12" s="185">
        <f t="shared" si="7"/>
        <v>51060</v>
      </c>
      <c r="BQ12" s="185">
        <f t="shared" si="5"/>
        <v>718.8</v>
      </c>
      <c r="BR12" s="185">
        <f t="shared" si="2"/>
        <v>11.8</v>
      </c>
    </row>
    <row r="13" spans="1:70" ht="15" customHeight="1" x14ac:dyDescent="0.3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6"/>
        <v>55455</v>
      </c>
      <c r="BO13">
        <f t="shared" si="4"/>
        <v>210</v>
      </c>
      <c r="BP13" s="185">
        <f t="shared" si="7"/>
        <v>73080</v>
      </c>
      <c r="BQ13" s="185">
        <f t="shared" si="5"/>
        <v>599.1</v>
      </c>
      <c r="BR13" s="185">
        <f t="shared" si="2"/>
        <v>11.883333333333333</v>
      </c>
    </row>
    <row r="14" spans="1:70" ht="15" customHeight="1" x14ac:dyDescent="0.3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6"/>
        <v>54495</v>
      </c>
      <c r="BO14">
        <f t="shared" si="4"/>
        <v>270</v>
      </c>
      <c r="BP14" s="185">
        <f t="shared" si="7"/>
        <v>72060</v>
      </c>
      <c r="BQ14" s="185">
        <f t="shared" si="5"/>
        <v>748.8</v>
      </c>
      <c r="BR14" s="185">
        <f t="shared" si="2"/>
        <v>11.883333333333333</v>
      </c>
    </row>
    <row r="15" spans="1:70" ht="15" customHeight="1" x14ac:dyDescent="0.3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6"/>
        <v>52545</v>
      </c>
      <c r="BO15">
        <f t="shared" si="4"/>
        <v>315</v>
      </c>
      <c r="BP15" s="185">
        <f t="shared" si="7"/>
        <v>69450</v>
      </c>
      <c r="BQ15" s="185">
        <f t="shared" si="5"/>
        <v>928.5</v>
      </c>
      <c r="BR15" s="185">
        <f t="shared" si="2"/>
        <v>11.916666666666668</v>
      </c>
    </row>
    <row r="16" spans="1:70" ht="15" customHeight="1" x14ac:dyDescent="0.3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6"/>
        <v>51420</v>
      </c>
      <c r="BO16">
        <f t="shared" si="4"/>
        <v>270</v>
      </c>
      <c r="BP16" s="185">
        <f t="shared" si="7"/>
        <v>68640</v>
      </c>
      <c r="BQ16" s="185">
        <f t="shared" si="5"/>
        <v>808.8</v>
      </c>
      <c r="BR16" s="185">
        <f t="shared" si="2"/>
        <v>11.866666666666667</v>
      </c>
    </row>
    <row r="17" spans="1:70" ht="15" customHeight="1" x14ac:dyDescent="0.3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6"/>
        <v>52275</v>
      </c>
      <c r="BO17">
        <f t="shared" si="4"/>
        <v>210</v>
      </c>
      <c r="BP17" s="185">
        <f t="shared" si="7"/>
        <v>69990</v>
      </c>
      <c r="BQ17" s="185">
        <f t="shared" si="5"/>
        <v>748.8</v>
      </c>
      <c r="BR17" s="185">
        <f t="shared" si="2"/>
        <v>11.933333333333335</v>
      </c>
    </row>
    <row r="18" spans="1:70" ht="15" customHeight="1" x14ac:dyDescent="0.3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6"/>
        <v>54615</v>
      </c>
      <c r="BO18">
        <f t="shared" si="4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3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6"/>
        <v>40365</v>
      </c>
      <c r="BO19">
        <f t="shared" si="4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3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6"/>
        <v>54945</v>
      </c>
      <c r="BO20">
        <f t="shared" si="4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3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3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3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3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3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3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3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4">
        <v>0.26527777777777778</v>
      </c>
      <c r="J27" s="304">
        <v>0.77152777777777781</v>
      </c>
      <c r="K27" s="302">
        <v>4977</v>
      </c>
      <c r="L27" s="302">
        <v>5732</v>
      </c>
      <c r="M27" s="302">
        <v>4885</v>
      </c>
      <c r="N27" s="302">
        <v>5721</v>
      </c>
      <c r="O27" s="302">
        <v>5884</v>
      </c>
      <c r="P27" s="302">
        <v>5035</v>
      </c>
      <c r="Q27" s="302">
        <v>5735</v>
      </c>
      <c r="R27" s="302">
        <v>5063</v>
      </c>
      <c r="S27" s="302">
        <v>5818</v>
      </c>
      <c r="T27" s="302">
        <v>5107</v>
      </c>
      <c r="U27" s="302">
        <v>6836</v>
      </c>
      <c r="V27" s="302">
        <v>6822</v>
      </c>
      <c r="W27" s="302">
        <v>7175</v>
      </c>
      <c r="X27" s="302">
        <v>7218</v>
      </c>
      <c r="Y27" s="302">
        <v>7160</v>
      </c>
      <c r="Z27" s="302">
        <v>7053</v>
      </c>
      <c r="AA27" s="302">
        <v>7049</v>
      </c>
      <c r="AB27" s="302">
        <v>6882</v>
      </c>
      <c r="AC27" s="302">
        <v>8415</v>
      </c>
      <c r="AD27" s="302">
        <v>8862</v>
      </c>
      <c r="AE27" s="79"/>
      <c r="AF27" s="79"/>
      <c r="AG27" s="79"/>
      <c r="AH27" s="79"/>
      <c r="AI27" s="79"/>
      <c r="AJ27" s="79"/>
      <c r="AK27" s="79"/>
      <c r="AL27" s="79"/>
      <c r="AM27" s="299">
        <v>146359.63159999999</v>
      </c>
      <c r="AN27" s="299">
        <v>584.08910000000003</v>
      </c>
      <c r="AO27" s="80"/>
      <c r="AP27" s="301">
        <v>7.08</v>
      </c>
      <c r="AQ27" s="302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1">
        <v>1374</v>
      </c>
      <c r="BC27" s="301">
        <v>214940</v>
      </c>
      <c r="BD27" s="301">
        <v>1199</v>
      </c>
      <c r="BE27" s="301">
        <v>195052</v>
      </c>
      <c r="BF27" s="301">
        <v>1678</v>
      </c>
      <c r="BG27" s="301">
        <v>219436</v>
      </c>
      <c r="BH27" s="301">
        <v>2491</v>
      </c>
      <c r="BI27" s="301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3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4">
        <v>0.2673611111111111</v>
      </c>
      <c r="J28" s="304">
        <v>0.77083333333333337</v>
      </c>
      <c r="K28" s="302">
        <v>4794</v>
      </c>
      <c r="L28" s="302">
        <v>5553</v>
      </c>
      <c r="M28" s="302">
        <v>4736</v>
      </c>
      <c r="N28" s="302">
        <v>5565</v>
      </c>
      <c r="O28" s="302">
        <v>5700</v>
      </c>
      <c r="P28" s="302">
        <v>4883</v>
      </c>
      <c r="Q28" s="302">
        <v>5572</v>
      </c>
      <c r="R28" s="302">
        <v>4902</v>
      </c>
      <c r="S28" s="302">
        <v>5633</v>
      </c>
      <c r="T28" s="302">
        <v>4946</v>
      </c>
      <c r="U28" s="302">
        <v>6647</v>
      </c>
      <c r="V28" s="302">
        <v>6641</v>
      </c>
      <c r="W28" s="302">
        <v>6986</v>
      </c>
      <c r="X28" s="302">
        <v>7031</v>
      </c>
      <c r="Y28" s="302">
        <v>6972</v>
      </c>
      <c r="Z28" s="302">
        <v>6864</v>
      </c>
      <c r="AA28" s="302">
        <v>6858</v>
      </c>
      <c r="AB28" s="302">
        <v>6704</v>
      </c>
      <c r="AC28" s="302">
        <v>8315</v>
      </c>
      <c r="AD28" s="302">
        <v>8763</v>
      </c>
      <c r="AE28" s="79"/>
      <c r="AF28" s="79"/>
      <c r="AG28" s="79"/>
      <c r="AH28" s="79"/>
      <c r="AI28" s="79"/>
      <c r="AJ28" s="79"/>
      <c r="AK28" s="79"/>
      <c r="AL28" s="79"/>
      <c r="AM28" s="300">
        <v>146482.27350000001</v>
      </c>
      <c r="AN28" s="300">
        <v>585.08330000000001</v>
      </c>
      <c r="AO28" s="80"/>
      <c r="AP28" s="303">
        <v>6.95</v>
      </c>
      <c r="AQ28" s="302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3">
        <v>1377</v>
      </c>
      <c r="BC28" s="303">
        <v>215456</v>
      </c>
      <c r="BD28" s="303">
        <v>1201</v>
      </c>
      <c r="BE28" s="303">
        <v>195515</v>
      </c>
      <c r="BF28" s="303">
        <v>1682</v>
      </c>
      <c r="BG28" s="303">
        <v>220044</v>
      </c>
      <c r="BH28" s="303">
        <v>2501</v>
      </c>
      <c r="BI28" s="303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3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4">
        <v>0.26805555555555555</v>
      </c>
      <c r="J29" s="304">
        <v>0.77083333333333337</v>
      </c>
      <c r="K29" s="302">
        <v>4810</v>
      </c>
      <c r="L29" s="302">
        <v>5513</v>
      </c>
      <c r="M29" s="302">
        <v>4738</v>
      </c>
      <c r="N29" s="302">
        <v>5571</v>
      </c>
      <c r="O29" s="302">
        <v>5650</v>
      </c>
      <c r="P29" s="302">
        <v>4836</v>
      </c>
      <c r="Q29" s="302">
        <v>5550</v>
      </c>
      <c r="R29" s="302">
        <v>4854</v>
      </c>
      <c r="S29" s="302">
        <v>5585</v>
      </c>
      <c r="T29" s="302">
        <v>4905</v>
      </c>
      <c r="U29" s="302">
        <v>6651</v>
      </c>
      <c r="V29" s="302">
        <v>6610</v>
      </c>
      <c r="W29" s="302">
        <v>6932</v>
      </c>
      <c r="X29" s="302">
        <v>6974</v>
      </c>
      <c r="Y29" s="302">
        <v>6910</v>
      </c>
      <c r="Z29" s="302">
        <v>6823</v>
      </c>
      <c r="AA29" s="302">
        <v>6879</v>
      </c>
      <c r="AB29" s="302">
        <v>6708</v>
      </c>
      <c r="AC29" s="302">
        <v>8224</v>
      </c>
      <c r="AD29" s="302">
        <v>8674</v>
      </c>
      <c r="AE29" s="79"/>
      <c r="AF29" s="79"/>
      <c r="AG29" s="79"/>
      <c r="AH29" s="79"/>
      <c r="AI29" s="79"/>
      <c r="AJ29" s="79"/>
      <c r="AK29" s="79"/>
      <c r="AL29" s="79"/>
      <c r="AM29" s="299">
        <v>146604.12549999999</v>
      </c>
      <c r="AN29" s="299">
        <v>586.07650000000001</v>
      </c>
      <c r="AO29" s="80"/>
      <c r="AP29" s="301">
        <v>6.91</v>
      </c>
      <c r="AQ29" s="302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1">
        <v>1380</v>
      </c>
      <c r="BC29" s="301">
        <v>215971</v>
      </c>
      <c r="BD29" s="301">
        <v>1203</v>
      </c>
      <c r="BE29" s="301">
        <v>195974</v>
      </c>
      <c r="BF29" s="301">
        <v>1686</v>
      </c>
      <c r="BG29" s="301">
        <v>220650</v>
      </c>
      <c r="BH29" s="301">
        <v>2511</v>
      </c>
      <c r="BI29" s="301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3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4">
        <v>0.26250000000000001</v>
      </c>
      <c r="J30" s="304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3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3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3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3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3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3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3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3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3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3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3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3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3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3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3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3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3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3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5">
        <v>0.26180555555555557</v>
      </c>
      <c r="J48" s="315">
        <v>0.65138888888888891</v>
      </c>
      <c r="K48" s="316">
        <v>4248</v>
      </c>
      <c r="L48" s="316">
        <v>4846</v>
      </c>
      <c r="M48" s="316">
        <v>3804</v>
      </c>
      <c r="N48" s="316">
        <v>4279</v>
      </c>
      <c r="O48" s="316">
        <v>4197</v>
      </c>
      <c r="P48" s="316">
        <v>3589</v>
      </c>
      <c r="Q48" s="316">
        <v>4586</v>
      </c>
      <c r="R48" s="316">
        <v>4020</v>
      </c>
      <c r="S48" s="316">
        <v>4490</v>
      </c>
      <c r="T48" s="316">
        <v>4140</v>
      </c>
      <c r="U48" s="316">
        <v>5227</v>
      </c>
      <c r="V48" s="316">
        <v>5277</v>
      </c>
      <c r="W48" s="316">
        <v>5403</v>
      </c>
      <c r="X48" s="316">
        <v>5411</v>
      </c>
      <c r="Y48" s="316">
        <v>5405</v>
      </c>
      <c r="Z48" s="316">
        <v>5356</v>
      </c>
      <c r="AA48" s="316">
        <v>5404</v>
      </c>
      <c r="AB48" s="316">
        <v>5259</v>
      </c>
      <c r="AC48" s="316">
        <v>6386</v>
      </c>
      <c r="AD48" s="316">
        <v>6643</v>
      </c>
      <c r="AE48" s="79"/>
      <c r="AF48" s="79"/>
      <c r="AG48" s="79"/>
      <c r="AH48" s="79"/>
      <c r="AI48" s="79"/>
      <c r="AJ48" s="79"/>
      <c r="AK48" s="79"/>
      <c r="AL48" s="79"/>
      <c r="AM48" s="300">
        <v>148782.33720000001</v>
      </c>
      <c r="AN48" s="313">
        <v>602.68343000000004</v>
      </c>
      <c r="AO48" s="300" t="s">
        <v>665</v>
      </c>
      <c r="AP48" s="314">
        <v>5.05</v>
      </c>
      <c r="AQ48" s="316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4">
        <v>1427</v>
      </c>
      <c r="BC48" s="314">
        <v>225190</v>
      </c>
      <c r="BD48" s="314">
        <v>1244</v>
      </c>
      <c r="BE48" s="314">
        <v>204108</v>
      </c>
      <c r="BF48" s="314">
        <v>1762</v>
      </c>
      <c r="BG48" s="314">
        <v>231550</v>
      </c>
      <c r="BH48" s="314">
        <v>2692</v>
      </c>
      <c r="BI48" s="314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3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5">
        <v>0.26874999999999999</v>
      </c>
      <c r="J49" s="315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3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5">
        <v>0.26874999999999999</v>
      </c>
      <c r="J50" s="315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3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5">
        <v>0.26944444444444443</v>
      </c>
      <c r="J51" s="315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3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5">
        <v>0.26180555555555557</v>
      </c>
      <c r="J52" s="315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3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5">
        <v>0.25972222222222224</v>
      </c>
      <c r="J53" s="315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3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5">
        <v>0.25347222222222221</v>
      </c>
      <c r="J54" s="315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3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5">
        <v>0.26944444444444443</v>
      </c>
      <c r="J55" s="315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3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5">
        <v>0.25624999999999998</v>
      </c>
      <c r="J56" s="315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3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5">
        <v>0.25763888888888886</v>
      </c>
      <c r="J57" s="315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3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5">
        <v>0.27500000000000002</v>
      </c>
      <c r="J58" s="315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3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5">
        <v>0.26597222222222222</v>
      </c>
      <c r="J59" s="315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3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5">
        <v>0.28472222222222221</v>
      </c>
      <c r="J60" s="315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3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5">
        <v>0.25694444444444442</v>
      </c>
      <c r="J61" s="315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3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5">
        <v>0.25763888888888886</v>
      </c>
      <c r="J62" s="315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3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5">
        <v>0.26180555555555557</v>
      </c>
      <c r="J63" s="315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3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5">
        <v>0.25694444444444442</v>
      </c>
      <c r="J64" s="315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3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5">
        <v>0.25694444444444442</v>
      </c>
      <c r="J65" s="315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3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5">
        <v>0.2590277777777778</v>
      </c>
      <c r="J66" s="315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3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5">
        <v>0.25624999999999998</v>
      </c>
      <c r="J67" s="315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3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5">
        <v>0.25555555555555554</v>
      </c>
      <c r="J68" s="315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3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5">
        <v>0.25416666666666665</v>
      </c>
      <c r="J69" s="315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3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5">
        <v>0.25416666666666665</v>
      </c>
      <c r="J70" s="315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3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5">
        <v>0.25694444444444442</v>
      </c>
      <c r="J71" s="315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3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18">
        <v>0.25416666666666665</v>
      </c>
      <c r="J72" s="315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3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5">
        <v>0.25694444444444442</v>
      </c>
      <c r="J73" s="315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3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5">
        <v>0.25624999999999998</v>
      </c>
      <c r="J74" s="315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3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5">
        <v>0.26527777777777778</v>
      </c>
      <c r="J75" s="315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3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5">
        <v>0.25069444444444444</v>
      </c>
      <c r="J76" s="315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3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5">
        <v>0.2673611111111111</v>
      </c>
      <c r="J77" s="315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3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5">
        <v>0.26180555555555557</v>
      </c>
      <c r="J78" s="315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3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5">
        <v>0.27361111111111114</v>
      </c>
      <c r="J79" s="315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3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5">
        <v>0.25833333333333336</v>
      </c>
      <c r="J80" s="315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3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5">
        <v>0.25555555555555554</v>
      </c>
      <c r="J81" s="315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3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5">
        <v>0.25624999999999998</v>
      </c>
      <c r="J82" s="315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3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5">
        <v>0.25624999999999998</v>
      </c>
      <c r="J83" s="315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3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5">
        <v>0.25416666666666665</v>
      </c>
      <c r="J84" s="315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3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5">
        <v>0.25555555555555554</v>
      </c>
      <c r="J85" s="315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3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5">
        <v>0.25347222222222221</v>
      </c>
      <c r="J86" s="315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3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5">
        <v>0.25972222222222224</v>
      </c>
      <c r="J87" s="315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3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5">
        <v>0.25624999999999998</v>
      </c>
      <c r="J88" s="315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3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5">
        <v>0.2590277777777778</v>
      </c>
      <c r="J89" s="315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3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5">
        <v>0.26180555555555557</v>
      </c>
      <c r="J90" s="315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3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5">
        <v>0.26666666666666666</v>
      </c>
      <c r="J91" s="315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3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5">
        <v>0.25694444444444442</v>
      </c>
      <c r="J92" s="315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3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5">
        <v>0.30208333333333331</v>
      </c>
      <c r="J93" s="315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3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5">
        <v>0.26319444444444445</v>
      </c>
      <c r="J94" s="315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3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5">
        <v>0.25763888888888886</v>
      </c>
      <c r="J95" s="315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3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5">
        <v>0.26458333333333334</v>
      </c>
      <c r="J96" s="315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4" ht="15" customHeight="1" x14ac:dyDescent="0.3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5">
        <v>0.26319444444444445</v>
      </c>
      <c r="J97" s="315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4" ht="15" customHeight="1" x14ac:dyDescent="0.3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5">
        <v>0.26111111111111113</v>
      </c>
      <c r="J98" s="315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4" ht="15" customHeight="1" x14ac:dyDescent="0.3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5">
        <v>0.26944444444444443</v>
      </c>
      <c r="J99" s="315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4" ht="15" customHeight="1" x14ac:dyDescent="0.3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5">
        <v>0.26180555555555557</v>
      </c>
      <c r="J100" s="315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4" ht="15" customHeight="1" x14ac:dyDescent="0.3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5">
        <v>0.26041666666666669</v>
      </c>
      <c r="J101" s="315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4" ht="15" customHeight="1" x14ac:dyDescent="0.3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5">
        <v>0.2638888888888889</v>
      </c>
      <c r="J102" s="315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4" ht="15" customHeight="1" x14ac:dyDescent="0.3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5">
        <v>0.26458333333333334</v>
      </c>
      <c r="J103" s="315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4" ht="15" customHeight="1" x14ac:dyDescent="0.3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5">
        <v>0.27916666666666667</v>
      </c>
      <c r="J104" s="315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4" ht="15" customHeight="1" x14ac:dyDescent="0.3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5">
        <v>0.27361111111111114</v>
      </c>
      <c r="J105" s="315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4" ht="15" customHeight="1" x14ac:dyDescent="0.3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5">
        <v>0.27430555555555558</v>
      </c>
      <c r="J106" s="315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4" ht="15" customHeight="1" x14ac:dyDescent="0.3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5">
        <v>0.26597222222222222</v>
      </c>
      <c r="J107" s="315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4" ht="15" customHeight="1" x14ac:dyDescent="0.3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5">
        <v>0.27083333333333331</v>
      </c>
      <c r="J108" s="315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4" ht="15" customHeight="1" x14ac:dyDescent="0.3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5">
        <v>0.26111111111111113</v>
      </c>
      <c r="J109" s="315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  <c r="BT109" s="185">
        <f>RD[[#This Row],[PSEGPL2_Export]]</f>
        <v>50730</v>
      </c>
      <c r="BU109" s="336">
        <f>RD[[#This Row],[O2R10]]+RD[[#This Row],[O2R6]]</f>
        <v>50198.799999999996</v>
      </c>
      <c r="BV109" s="336">
        <f>BT109-BU109</f>
        <v>531.20000000000437</v>
      </c>
    </row>
    <row r="110" spans="1:74" ht="15" customHeight="1" x14ac:dyDescent="0.3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5">
        <v>0.26319444444444445</v>
      </c>
      <c r="J110" s="315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  <c r="BT110" s="185">
        <f>RD[[#This Row],[PSEGPL2_Export]]</f>
        <v>48690</v>
      </c>
      <c r="BU110" s="336">
        <f>RD[[#This Row],[O2R10]]+RD[[#This Row],[O2R6]]</f>
        <v>47909.5</v>
      </c>
    </row>
    <row r="111" spans="1:74" ht="15" customHeight="1" x14ac:dyDescent="0.3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5">
        <v>0.26319444444444445</v>
      </c>
      <c r="J111" s="315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  <c r="BT111" s="185">
        <f>RD[[#This Row],[PSEGPL2_Export]]</f>
        <v>50790</v>
      </c>
      <c r="BU111" s="336">
        <f>RD[[#This Row],[O2R10]]+RD[[#This Row],[O2R6]]</f>
        <v>50008.299999999996</v>
      </c>
    </row>
    <row r="112" spans="1:74" ht="15" customHeight="1" x14ac:dyDescent="0.3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5">
        <v>0.26527777777777778</v>
      </c>
      <c r="J112" s="315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  <c r="BT112" s="185">
        <f>RD[[#This Row],[PSEGPL2_Export]]</f>
        <v>44520</v>
      </c>
      <c r="BU112" s="336">
        <f>RD[[#This Row],[O2R10]]+RD[[#This Row],[O2R6]]</f>
        <v>43699.199999999997</v>
      </c>
    </row>
    <row r="113" spans="1:73" ht="15" customHeight="1" x14ac:dyDescent="0.3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5">
        <v>0.26597222222222222</v>
      </c>
      <c r="J113" s="315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  <c r="BT113" s="185">
        <f>RD[[#This Row],[PSEGPL2_Export]]</f>
        <v>60660</v>
      </c>
      <c r="BU113" s="336">
        <f>RD[[#This Row],[O2R10]]+RD[[#This Row],[O2R6]]</f>
        <v>60070</v>
      </c>
    </row>
    <row r="114" spans="1:73" ht="15" customHeight="1" x14ac:dyDescent="0.3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5">
        <v>0.30833333333333335</v>
      </c>
      <c r="J114" s="315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  <c r="BT114" s="185">
        <f>RD[[#This Row],[PSEGPL2_Export]]</f>
        <v>42540</v>
      </c>
      <c r="BU114" s="336">
        <f>RD[[#This Row],[O2R10]]+RD[[#This Row],[O2R6]]</f>
        <v>41692.83</v>
      </c>
    </row>
    <row r="115" spans="1:73" ht="15" customHeight="1" x14ac:dyDescent="0.3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5">
        <v>0.27291666666666664</v>
      </c>
      <c r="J115" s="315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  <c r="BT115" s="185">
        <f>RD[[#This Row],[PSEGPL2_Export]]</f>
        <v>41760</v>
      </c>
      <c r="BU115" s="336">
        <f>RD[[#This Row],[O2R10]]+RD[[#This Row],[O2R6]]</f>
        <v>40849.699999999997</v>
      </c>
    </row>
    <row r="116" spans="1:73" ht="15" customHeight="1" x14ac:dyDescent="0.3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5">
        <v>0.26319444444444445</v>
      </c>
      <c r="J116" s="315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  <c r="BT116" s="185">
        <f>RD[[#This Row],[PSEGPL2_Export]]</f>
        <v>53220</v>
      </c>
      <c r="BU116" s="336">
        <f>RD[[#This Row],[O2R10]]+RD[[#This Row],[O2R6]]</f>
        <v>52515.400000000009</v>
      </c>
    </row>
    <row r="117" spans="1:73" ht="15" customHeight="1" x14ac:dyDescent="0.3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5">
        <v>0.26597222222222222</v>
      </c>
      <c r="J117" s="315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  <c r="BT117" s="185">
        <f>RD[[#This Row],[PSEGPL2_Export]]</f>
        <v>69960</v>
      </c>
      <c r="BU117" s="336">
        <f>RD[[#This Row],[O2R10]]+RD[[#This Row],[O2R6]]</f>
        <v>69512.899999999994</v>
      </c>
    </row>
    <row r="118" spans="1:73" ht="15" customHeight="1" x14ac:dyDescent="0.3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5">
        <v>0.2722222222222222</v>
      </c>
      <c r="J118" s="315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  <c r="BT118" s="185">
        <f>RD[[#This Row],[PSEGPL2_Export]]</f>
        <v>68310</v>
      </c>
      <c r="BU118" s="336">
        <f>RD[[#This Row],[O2R10]]+RD[[#This Row],[O2R6]]</f>
        <v>68009.7</v>
      </c>
    </row>
    <row r="119" spans="1:73" ht="15" customHeight="1" x14ac:dyDescent="0.3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5">
        <v>0.30902777777777779</v>
      </c>
      <c r="J119" s="315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  <c r="BT119" s="185">
        <f>RD[[#This Row],[PSEGPL2_Export]]</f>
        <v>46440</v>
      </c>
      <c r="BU119" s="336">
        <f>RD[[#This Row],[O2R10]]+RD[[#This Row],[O2R6]]</f>
        <v>45500.4</v>
      </c>
    </row>
    <row r="120" spans="1:73" ht="15" customHeight="1" x14ac:dyDescent="0.3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5">
        <v>0.27708333333333335</v>
      </c>
      <c r="J120" s="315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  <c r="BT120" s="185">
        <f>RD[[#This Row],[PSEGPL2_Export]]</f>
        <v>31890</v>
      </c>
      <c r="BU120" s="336">
        <f>RD[[#This Row],[O2R10]]+RD[[#This Row],[O2R6]]</f>
        <v>31029.599999999999</v>
      </c>
    </row>
    <row r="121" spans="1:73" ht="15" customHeight="1" x14ac:dyDescent="0.3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5">
        <v>0.26597222222222222</v>
      </c>
      <c r="J121" s="315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  <c r="BT121" s="185">
        <f>RD[[#This Row],[PSEGPL2_Export]]</f>
        <v>38640</v>
      </c>
      <c r="BU121" s="336">
        <f>RD[[#This Row],[O2R10]]+RD[[#This Row],[O2R6]]</f>
        <v>37664.9</v>
      </c>
    </row>
    <row r="122" spans="1:73" ht="15" customHeight="1" x14ac:dyDescent="0.3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5">
        <v>0.27777777777777779</v>
      </c>
      <c r="J122" s="315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  <c r="BT122" s="185">
        <f>RD[[#This Row],[PSEGPL2_Export]]</f>
        <v>19800</v>
      </c>
      <c r="BU122" s="336">
        <f>RD[[#This Row],[O2R10]]+RD[[#This Row],[O2R6]]</f>
        <v>18718.8</v>
      </c>
    </row>
    <row r="123" spans="1:73" ht="15" customHeight="1" x14ac:dyDescent="0.3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5">
        <v>0.28958333333333336</v>
      </c>
      <c r="J123" s="315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  <c r="BT123" s="185">
        <f>RD[[#This Row],[PSEGPL2_Export]]</f>
        <v>17280</v>
      </c>
      <c r="BU123" s="336">
        <f>RD[[#This Row],[O2R10]]+RD[[#This Row],[O2R6]]</f>
        <v>16273.099999999999</v>
      </c>
    </row>
    <row r="124" spans="1:73" ht="15" customHeight="1" x14ac:dyDescent="0.3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5">
        <v>0.27638888888888891</v>
      </c>
      <c r="J124" s="315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252026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36600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  <c r="BT124" s="185">
        <f>RD[[#This Row],[PSEGPL2_Export]]</f>
        <v>35610</v>
      </c>
      <c r="BU124" s="336">
        <f>RD[[#This Row],[O2R10]]+RD[[#This Row],[O2R6]]</f>
        <v>34304.700000000004</v>
      </c>
    </row>
    <row r="125" spans="1:73" ht="15" customHeight="1" x14ac:dyDescent="0.3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315">
        <v>0.2638888888888889</v>
      </c>
      <c r="J125" s="315">
        <v>0.7680555555555556</v>
      </c>
      <c r="K125" s="79">
        <v>3877</v>
      </c>
      <c r="L125" s="79">
        <v>4342</v>
      </c>
      <c r="M125" s="79">
        <v>3864</v>
      </c>
      <c r="N125" s="179">
        <v>4405</v>
      </c>
      <c r="O125" s="179">
        <v>4501</v>
      </c>
      <c r="P125" s="179">
        <v>3800</v>
      </c>
      <c r="Q125" s="179">
        <v>4483</v>
      </c>
      <c r="R125" s="179">
        <v>3932</v>
      </c>
      <c r="S125" s="179">
        <v>4330</v>
      </c>
      <c r="T125" s="179">
        <v>3935</v>
      </c>
      <c r="U125" s="79">
        <v>4886.2</v>
      </c>
      <c r="V125" s="79">
        <v>4867</v>
      </c>
      <c r="W125" s="79">
        <v>5008</v>
      </c>
      <c r="X125" s="79">
        <v>4997</v>
      </c>
      <c r="Y125" s="79">
        <v>4993.2</v>
      </c>
      <c r="Z125" s="79">
        <v>4949.1000000000004</v>
      </c>
      <c r="AA125" s="79">
        <v>5008.3999999999996</v>
      </c>
      <c r="AB125" s="79">
        <v>5007.6000000000004</v>
      </c>
      <c r="AC125" s="79">
        <v>5801</v>
      </c>
      <c r="AD125" s="79">
        <v>6141.8</v>
      </c>
      <c r="AE125" s="79"/>
      <c r="AF125" s="79"/>
      <c r="AG125" s="79"/>
      <c r="AH125" s="79"/>
      <c r="AI125" s="79"/>
      <c r="AJ125" s="79"/>
      <c r="AK125" s="79"/>
      <c r="AL125" s="79"/>
      <c r="AM125" s="80">
        <v>154967.15520000001</v>
      </c>
      <c r="AN125" s="80">
        <v>668.02329999999995</v>
      </c>
      <c r="AO125" s="80"/>
      <c r="AP125" s="80">
        <v>4.694</v>
      </c>
      <c r="AQ125" s="82">
        <v>4.2539999999999996</v>
      </c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4.4624563426688626</v>
      </c>
      <c r="AS125" s="82">
        <f>SUM(RD[[#This Row],[G1 Inv1]:[G5 Inv10]])</f>
        <v>41469</v>
      </c>
      <c r="AT125" s="82">
        <f>SUM(RD[[#This Row],[IS1_Inv1_M1]:[IS1_Inv2_M4]])</f>
        <v>39716.5</v>
      </c>
      <c r="AU125" s="82">
        <f>SUM(RD[[#This Row],[IS2_Inv1]:[IS2_Inv2]])</f>
        <v>11942.8</v>
      </c>
      <c r="AV125" s="80"/>
      <c r="AW125" s="83"/>
      <c r="AX125" s="80"/>
      <c r="AY125" s="80"/>
      <c r="AZ125" s="80"/>
      <c r="BA125" s="83">
        <f>IFERROR(SUM(RD[[#This Row],[PSEGPL]:[O2R10]]),"")</f>
        <v>93128.3</v>
      </c>
      <c r="BB125" s="80">
        <v>1617</v>
      </c>
      <c r="BC125" s="83">
        <v>252118</v>
      </c>
      <c r="BD125" s="83">
        <v>1397</v>
      </c>
      <c r="BE125" s="83">
        <v>226357</v>
      </c>
      <c r="BF125" s="83">
        <v>2067</v>
      </c>
      <c r="BG125" s="83">
        <v>262321</v>
      </c>
      <c r="BH125" s="83">
        <v>3363</v>
      </c>
      <c r="BI125" s="83">
        <v>249172</v>
      </c>
      <c r="BJ125" s="101">
        <f>IF((RD[[#This Row],[33 kV F5 Export Reading_Gss End]]-AM124)*1000&lt;0,0,(RD[[#This Row],[33 kV F5 Export Reading_Gss End]]-AM124)*1000)</f>
        <v>92873.400000011316</v>
      </c>
      <c r="BK125" s="83">
        <f>IF((RD[[#This Row],[33 kV F5 Import Reading_GSS End2]]-AN124)*1000&lt;0,0,(RD[[#This Row],[33 kV F5 Import Reading_GSS End2]]-AN124)*1000)</f>
        <v>862.39999999997963</v>
      </c>
      <c r="BL125" s="84">
        <f>RD[[#This Row],[Export  (kWh)]]-RD[[#This Row],[Import (kWh)]]</f>
        <v>92011.000000011336</v>
      </c>
      <c r="BM125" s="84">
        <f>RD[[#This Row],[Inverters Generation ( kWh)]]-RD[[#This Row],[Export  (kWh)]]</f>
        <v>254.89999998868734</v>
      </c>
      <c r="BN125">
        <f t="shared" si="21"/>
        <v>22080</v>
      </c>
      <c r="BO125">
        <f t="shared" si="22"/>
        <v>210</v>
      </c>
      <c r="BP125" s="185">
        <f t="shared" si="23"/>
        <v>52350</v>
      </c>
      <c r="BQ125" s="185">
        <f t="shared" si="24"/>
        <v>688.8</v>
      </c>
      <c r="BR125" s="185">
        <f t="shared" si="20"/>
        <v>12.1</v>
      </c>
      <c r="BT125" s="185">
        <f>RD[[#This Row],[PSEGPL2_Export]]</f>
        <v>52350</v>
      </c>
      <c r="BU125" s="336">
        <f>RD[[#This Row],[O2R10]]+RD[[#This Row],[O2R6]]</f>
        <v>51659.3</v>
      </c>
    </row>
    <row r="126" spans="1:73" ht="15" customHeight="1" x14ac:dyDescent="0.3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315">
        <v>0.27569444444444446</v>
      </c>
      <c r="J126" s="315">
        <v>0.76736111111111116</v>
      </c>
      <c r="K126" s="79">
        <v>2208</v>
      </c>
      <c r="L126" s="79">
        <v>2498</v>
      </c>
      <c r="M126" s="79">
        <v>2255</v>
      </c>
      <c r="N126" s="179">
        <v>2568</v>
      </c>
      <c r="O126" s="79">
        <v>2604</v>
      </c>
      <c r="P126" s="179">
        <v>2216</v>
      </c>
      <c r="Q126" s="179">
        <v>2576</v>
      </c>
      <c r="R126" s="179">
        <v>2276</v>
      </c>
      <c r="S126" s="179">
        <v>2540</v>
      </c>
      <c r="T126" s="179">
        <v>2257</v>
      </c>
      <c r="U126" s="79">
        <v>2874</v>
      </c>
      <c r="V126" s="79">
        <v>2872.9</v>
      </c>
      <c r="W126" s="79">
        <v>2957.6</v>
      </c>
      <c r="X126" s="79">
        <v>2956.7</v>
      </c>
      <c r="Y126" s="79">
        <v>2953.8</v>
      </c>
      <c r="Z126" s="79">
        <v>2908.2</v>
      </c>
      <c r="AA126" s="79">
        <v>2939.7</v>
      </c>
      <c r="AB126" s="79">
        <v>2930.7</v>
      </c>
      <c r="AC126" s="79">
        <v>3454.6</v>
      </c>
      <c r="AD126" s="79">
        <v>3700.5</v>
      </c>
      <c r="AE126" s="79"/>
      <c r="AF126" s="79"/>
      <c r="AG126" s="79"/>
      <c r="AH126" s="79"/>
      <c r="AI126" s="79"/>
      <c r="AJ126" s="79"/>
      <c r="AK126" s="79"/>
      <c r="AL126" s="79"/>
      <c r="AM126" s="80">
        <v>155022.1746</v>
      </c>
      <c r="AN126" s="80">
        <v>669.11659999999995</v>
      </c>
      <c r="AO126" s="80"/>
      <c r="AP126" s="80">
        <v>2.64</v>
      </c>
      <c r="AQ126" s="82">
        <v>2.78</v>
      </c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2.7136729818780889</v>
      </c>
      <c r="AS126" s="82">
        <f>SUM(RD[[#This Row],[G1 Inv1]:[G5 Inv10]])</f>
        <v>23998</v>
      </c>
      <c r="AT126" s="82">
        <f>SUM(RD[[#This Row],[IS1_Inv1_M1]:[IS1_Inv2_M4]])</f>
        <v>23393.600000000002</v>
      </c>
      <c r="AU126" s="82">
        <f>SUM(RD[[#This Row],[IS2_Inv1]:[IS2_Inv2]])</f>
        <v>7155.1</v>
      </c>
      <c r="AV126" s="80"/>
      <c r="AW126" s="83"/>
      <c r="AX126" s="80"/>
      <c r="AY126" s="80"/>
      <c r="AZ126" s="80"/>
      <c r="BA126" s="83">
        <f>IFERROR(SUM(RD[[#This Row],[PSEGPL]:[O2R10]]),"")</f>
        <v>54546.700000000004</v>
      </c>
      <c r="BB126" s="80">
        <v>1620</v>
      </c>
      <c r="BC126" s="83">
        <v>252419</v>
      </c>
      <c r="BD126" s="83">
        <v>1400</v>
      </c>
      <c r="BE126" s="83">
        <v>226569</v>
      </c>
      <c r="BF126" s="83">
        <v>2072</v>
      </c>
      <c r="BG126" s="83">
        <v>262590</v>
      </c>
      <c r="BH126" s="83">
        <v>3372</v>
      </c>
      <c r="BI126" s="83">
        <v>249417</v>
      </c>
      <c r="BJ126" s="101">
        <f>IF((RD[[#This Row],[33 kV F5 Export Reading_Gss End]]-AM125)*1000&lt;0,0,(RD[[#This Row],[33 kV F5 Export Reading_Gss End]]-AM125)*1000)</f>
        <v>55019.399999990128</v>
      </c>
      <c r="BK126" s="83">
        <f>IF((RD[[#This Row],[33 kV F5 Import Reading_GSS End2]]-AN125)*1000&lt;0,0,(RD[[#This Row],[33 kV F5 Import Reading_GSS End2]]-AN125)*1000)</f>
        <v>1093.2999999999993</v>
      </c>
      <c r="BL126" s="84">
        <f>RD[[#This Row],[Export  (kWh)]]-RD[[#This Row],[Import (kWh)]]</f>
        <v>53926.099999990125</v>
      </c>
      <c r="BM126" s="84">
        <f>RD[[#This Row],[Inverters Generation ( kWh)]]-RD[[#This Row],[Export  (kWh)]]</f>
        <v>-472.69999999012362</v>
      </c>
      <c r="BN126">
        <f t="shared" si="21"/>
        <v>27600</v>
      </c>
      <c r="BO126">
        <f t="shared" si="22"/>
        <v>315</v>
      </c>
      <c r="BP126" s="185">
        <f t="shared" ref="BP126:BP128" si="25">IF(AND(BG126="",BI126=""),"",(((BG126-BG125)*MF_Cap_O2RE6)+((BI126-BI125)*MF_Cap_O2RE10)))</f>
        <v>31560</v>
      </c>
      <c r="BQ126" s="185">
        <f t="shared" ref="BQ126:BQ128" si="26">IF(AND(BF126="",BH126=""),"",((((BF126-BF125)*MF_Cap_O2RE6)*1.33)+((BH126-BH125)*MF_Cap_O2RE10)))</f>
        <v>868.5</v>
      </c>
      <c r="BR126" s="185">
        <f t="shared" si="20"/>
        <v>11.8</v>
      </c>
      <c r="BT126" s="185">
        <f>RD[[#This Row],[PSEGPL2_Export]]</f>
        <v>31560</v>
      </c>
      <c r="BU126" s="336">
        <f>RD[[#This Row],[O2R10]]+RD[[#This Row],[O2R6]]</f>
        <v>30548.700000000004</v>
      </c>
    </row>
    <row r="127" spans="1:73" ht="15" customHeight="1" x14ac:dyDescent="0.3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315">
        <v>0.28055555555555556</v>
      </c>
      <c r="J127" s="315">
        <v>0.7729166666666667</v>
      </c>
      <c r="K127" s="79">
        <v>2369</v>
      </c>
      <c r="L127" s="79">
        <v>2651</v>
      </c>
      <c r="M127" s="79">
        <v>2368</v>
      </c>
      <c r="N127" s="179">
        <v>2702</v>
      </c>
      <c r="O127" s="179">
        <v>2782</v>
      </c>
      <c r="P127" s="179">
        <v>2306</v>
      </c>
      <c r="Q127" s="179">
        <v>2731</v>
      </c>
      <c r="R127" s="179">
        <v>2426</v>
      </c>
      <c r="S127" s="179">
        <v>2669</v>
      </c>
      <c r="T127" s="179">
        <v>2363</v>
      </c>
      <c r="U127" s="79">
        <v>3068</v>
      </c>
      <c r="V127" s="79">
        <v>3068.7</v>
      </c>
      <c r="W127" s="79">
        <v>3153.6</v>
      </c>
      <c r="X127" s="79">
        <v>3153.4</v>
      </c>
      <c r="Y127" s="79">
        <v>3146.9</v>
      </c>
      <c r="Z127" s="79">
        <v>3097.7</v>
      </c>
      <c r="AA127" s="79">
        <v>3131.6</v>
      </c>
      <c r="AB127" s="79">
        <v>3119.8</v>
      </c>
      <c r="AC127" s="79">
        <v>3627.5</v>
      </c>
      <c r="AD127" s="79">
        <v>3895.8</v>
      </c>
      <c r="AE127" s="79"/>
      <c r="AF127" s="79"/>
      <c r="AG127" s="79"/>
      <c r="AH127" s="79"/>
      <c r="AI127" s="79"/>
      <c r="AJ127" s="79"/>
      <c r="AK127" s="79"/>
      <c r="AL127" s="79"/>
      <c r="AM127" s="80">
        <v>155080.44</v>
      </c>
      <c r="AN127" s="80">
        <v>669.84</v>
      </c>
      <c r="AO127" s="80"/>
      <c r="AP127" s="80">
        <v>2.8650000000000002</v>
      </c>
      <c r="AQ127" s="82">
        <v>2.9</v>
      </c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2.8834182454695219</v>
      </c>
      <c r="AS127" s="82">
        <f>SUM(RD[[#This Row],[G1 Inv1]:[G5 Inv10]])</f>
        <v>25367</v>
      </c>
      <c r="AT127" s="82">
        <f>SUM(RD[[#This Row],[IS1_Inv1_M1]:[IS1_Inv2_M4]])</f>
        <v>24939.699999999997</v>
      </c>
      <c r="AU127" s="82">
        <f>SUM(RD[[#This Row],[IS2_Inv1]:[IS2_Inv2]])</f>
        <v>7523.3</v>
      </c>
      <c r="AV127" s="80"/>
      <c r="AW127" s="83"/>
      <c r="AX127" s="80"/>
      <c r="AY127" s="80"/>
      <c r="AZ127" s="80"/>
      <c r="BA127" s="83">
        <f>IFERROR(SUM(RD[[#This Row],[PSEGPL]:[O2R10]]),"")</f>
        <v>57830</v>
      </c>
      <c r="BB127" s="80">
        <v>1622</v>
      </c>
      <c r="BC127" s="83">
        <v>252671</v>
      </c>
      <c r="BD127" s="83">
        <v>1402</v>
      </c>
      <c r="BE127" s="83">
        <v>226794</v>
      </c>
      <c r="BF127" s="83">
        <v>2076</v>
      </c>
      <c r="BG127" s="83">
        <v>262875</v>
      </c>
      <c r="BH127" s="83">
        <v>3382</v>
      </c>
      <c r="BI127" s="83">
        <v>249675</v>
      </c>
      <c r="BJ127" s="101">
        <f>IF((RD[[#This Row],[33 kV F5 Export Reading_Gss End]]-AM126)*1000&lt;0,0,(RD[[#This Row],[33 kV F5 Export Reading_Gss End]]-AM126)*1000)</f>
        <v>58265.400000003865</v>
      </c>
      <c r="BK127" s="83">
        <f>IF((RD[[#This Row],[33 kV F5 Import Reading_GSS End2]]-AN126)*1000&lt;0,0,(RD[[#This Row],[33 kV F5 Import Reading_GSS End2]]-AN126)*1000)</f>
        <v>723.40000000008331</v>
      </c>
      <c r="BL127" s="84">
        <f>RD[[#This Row],[Export  (kWh)]]-RD[[#This Row],[Import (kWh)]]</f>
        <v>57542.000000003783</v>
      </c>
      <c r="BM127" s="84">
        <f>RD[[#This Row],[Inverters Generation ( kWh)]]-RD[[#This Row],[Export  (kWh)]]</f>
        <v>-435.40000000386499</v>
      </c>
      <c r="BN127">
        <f t="shared" si="21"/>
        <v>25245</v>
      </c>
      <c r="BO127">
        <f t="shared" si="22"/>
        <v>210</v>
      </c>
      <c r="BP127" s="185">
        <f t="shared" si="25"/>
        <v>33390</v>
      </c>
      <c r="BQ127" s="185">
        <f t="shared" si="26"/>
        <v>778.8</v>
      </c>
      <c r="BR127" s="185">
        <f t="shared" si="20"/>
        <v>11.816666666666666</v>
      </c>
      <c r="BT127" s="185">
        <f>RD[[#This Row],[PSEGPL2_Export]]</f>
        <v>33390</v>
      </c>
      <c r="BU127" s="336">
        <f>RD[[#This Row],[O2R10]]+RD[[#This Row],[O2R6]]</f>
        <v>32462.999999999996</v>
      </c>
    </row>
    <row r="128" spans="1:73" ht="15" customHeight="1" x14ac:dyDescent="0.3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315">
        <v>0.2722222222222222</v>
      </c>
      <c r="J128" s="315">
        <v>0.78472222222222221</v>
      </c>
      <c r="K128" s="79">
        <v>3730</v>
      </c>
      <c r="L128" s="79">
        <v>4278</v>
      </c>
      <c r="M128" s="79">
        <v>3684</v>
      </c>
      <c r="N128" s="179">
        <v>4220</v>
      </c>
      <c r="O128" s="179">
        <v>4343</v>
      </c>
      <c r="P128" s="179">
        <v>3550</v>
      </c>
      <c r="Q128" s="179">
        <v>4168</v>
      </c>
      <c r="R128" s="179">
        <v>3666</v>
      </c>
      <c r="S128" s="179">
        <v>4079</v>
      </c>
      <c r="T128" s="179">
        <v>3674</v>
      </c>
      <c r="U128" s="79">
        <v>4669.3</v>
      </c>
      <c r="V128" s="79">
        <v>4672</v>
      </c>
      <c r="W128" s="79">
        <v>4817.1000000000004</v>
      </c>
      <c r="X128" s="79">
        <v>4816.6000000000004</v>
      </c>
      <c r="Y128" s="79">
        <v>4809.3999999999996</v>
      </c>
      <c r="Z128" s="79">
        <v>4728.7</v>
      </c>
      <c r="AA128" s="79">
        <v>4762.1000000000004</v>
      </c>
      <c r="AB128" s="79">
        <v>4741.6000000000004</v>
      </c>
      <c r="AC128" s="79">
        <v>5606.4</v>
      </c>
      <c r="AD128" s="79">
        <v>6017.9</v>
      </c>
      <c r="AE128" s="79"/>
      <c r="AF128" s="79"/>
      <c r="AG128" s="79"/>
      <c r="AH128" s="79"/>
      <c r="AI128" s="79"/>
      <c r="AJ128" s="79"/>
      <c r="AK128" s="79"/>
      <c r="AL128" s="79"/>
      <c r="AM128" s="80">
        <v>155169.52420000001</v>
      </c>
      <c r="AN128" s="80">
        <v>670.90380000000005</v>
      </c>
      <c r="AO128" s="80"/>
      <c r="AP128" s="80">
        <v>4.4400000000000004</v>
      </c>
      <c r="AQ128" s="82">
        <v>4.532</v>
      </c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4.4884136738056011</v>
      </c>
      <c r="AS128" s="82">
        <f>SUM(RD[[#This Row],[G1 Inv1]:[G5 Inv10]])</f>
        <v>39392</v>
      </c>
      <c r="AT128" s="82">
        <f>SUM(RD[[#This Row],[IS1_Inv1_M1]:[IS1_Inv2_M4]])</f>
        <v>38016.800000000003</v>
      </c>
      <c r="AU128" s="82">
        <f>SUM(RD[[#This Row],[IS2_Inv1]:[IS2_Inv2]])</f>
        <v>11624.3</v>
      </c>
      <c r="AV128" s="80"/>
      <c r="AW128" s="83"/>
      <c r="AX128" s="80"/>
      <c r="AY128" s="80"/>
      <c r="AZ128" s="80"/>
      <c r="BA128" s="83">
        <f>IFERROR(SUM(RD[[#This Row],[PSEGPL]:[O2R10]]),"")</f>
        <v>89033.1</v>
      </c>
      <c r="BB128" s="80">
        <v>1625</v>
      </c>
      <c r="BC128" s="83">
        <v>253068</v>
      </c>
      <c r="BD128" s="83">
        <v>1404</v>
      </c>
      <c r="BE128" s="83">
        <v>227138</v>
      </c>
      <c r="BF128" s="83">
        <v>2080</v>
      </c>
      <c r="BG128" s="83">
        <v>263305</v>
      </c>
      <c r="BH128" s="83">
        <v>3392</v>
      </c>
      <c r="BI128" s="83">
        <v>250068</v>
      </c>
      <c r="BJ128" s="101">
        <f>IF((RD[[#This Row],[33 kV F5 Export Reading_Gss End]]-AM127)*1000&lt;0,0,(RD[[#This Row],[33 kV F5 Export Reading_Gss End]]-AM127)*1000)</f>
        <v>89084.200000012061</v>
      </c>
      <c r="BK128" s="83">
        <f>IF((RD[[#This Row],[33 kV F5 Import Reading_GSS End2]]-AN127)*1000&lt;0,0,(RD[[#This Row],[33 kV F5 Import Reading_GSS End2]]-AN127)*1000)</f>
        <v>1063.8000000000147</v>
      </c>
      <c r="BL128" s="84">
        <f>RD[[#This Row],[Export  (kWh)]]-RD[[#This Row],[Import (kWh)]]</f>
        <v>88020.400000012043</v>
      </c>
      <c r="BM128" s="84">
        <f>RD[[#This Row],[Inverters Generation ( kWh)]]-RD[[#This Row],[Export  (kWh)]]</f>
        <v>-51.100000012054807</v>
      </c>
      <c r="BN128">
        <f t="shared" si="21"/>
        <v>39300</v>
      </c>
      <c r="BO128">
        <f t="shared" si="22"/>
        <v>270</v>
      </c>
      <c r="BP128" s="185">
        <f t="shared" si="25"/>
        <v>50490</v>
      </c>
      <c r="BQ128" s="185">
        <f t="shared" si="26"/>
        <v>778.8</v>
      </c>
      <c r="BR128" s="185">
        <f t="shared" si="20"/>
        <v>12.299999999999999</v>
      </c>
      <c r="BT128" s="185">
        <f>RD[[#This Row],[PSEGPL2_Export]]</f>
        <v>50490</v>
      </c>
      <c r="BU128" s="336">
        <f>RD[[#This Row],[O2R10]]+RD[[#This Row],[O2R6]]</f>
        <v>49641.100000000006</v>
      </c>
    </row>
    <row r="129" spans="1:73" ht="15" customHeight="1" x14ac:dyDescent="0.3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315">
        <v>0.2673611111111111</v>
      </c>
      <c r="J129" s="315">
        <v>0.78055555555555556</v>
      </c>
      <c r="K129" s="79">
        <v>4220</v>
      </c>
      <c r="L129" s="79">
        <v>4772</v>
      </c>
      <c r="M129" s="79">
        <v>4207</v>
      </c>
      <c r="N129" s="179">
        <v>4867</v>
      </c>
      <c r="O129" s="179">
        <v>4898</v>
      </c>
      <c r="P129" s="179">
        <v>4130</v>
      </c>
      <c r="Q129" s="179">
        <v>4708</v>
      </c>
      <c r="R129" s="179">
        <v>4129</v>
      </c>
      <c r="S129" s="179">
        <v>4649</v>
      </c>
      <c r="T129" s="179">
        <v>4115</v>
      </c>
      <c r="U129" s="79">
        <v>5434</v>
      </c>
      <c r="V129" s="79">
        <v>5439.4</v>
      </c>
      <c r="W129" s="79">
        <v>5574.3</v>
      </c>
      <c r="X129" s="79">
        <v>5548.7</v>
      </c>
      <c r="Y129" s="79">
        <v>5561.9</v>
      </c>
      <c r="Z129" s="79">
        <v>5520.5</v>
      </c>
      <c r="AA129" s="79">
        <v>5576.2</v>
      </c>
      <c r="AB129" s="79">
        <v>5558.5</v>
      </c>
      <c r="AC129" s="79">
        <v>6375.8</v>
      </c>
      <c r="AD129" s="79">
        <v>6898.3</v>
      </c>
      <c r="AE129" s="79"/>
      <c r="AF129" s="79"/>
      <c r="AG129" s="79"/>
      <c r="AH129" s="79"/>
      <c r="AI129" s="79"/>
      <c r="AJ129" s="79"/>
      <c r="AK129" s="79"/>
      <c r="AL129" s="79"/>
      <c r="AM129" s="80">
        <v>155271.35829999999</v>
      </c>
      <c r="AN129" s="80">
        <v>671.67100000000005</v>
      </c>
      <c r="AO129" s="80"/>
      <c r="AP129" s="80">
        <v>5.2629999999999999</v>
      </c>
      <c r="AQ129" s="82">
        <v>5.1230000000000002</v>
      </c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5.1893270181219115</v>
      </c>
      <c r="AS129" s="82">
        <f>SUM(RD[[#This Row],[G1 Inv1]:[G5 Inv10]])</f>
        <v>44695</v>
      </c>
      <c r="AT129" s="82">
        <f>SUM(RD[[#This Row],[IS1_Inv1_M1]:[IS1_Inv2_M4]])</f>
        <v>44213.5</v>
      </c>
      <c r="AU129" s="82">
        <f>SUM(RD[[#This Row],[IS2_Inv1]:[IS2_Inv2]])</f>
        <v>13274.1</v>
      </c>
      <c r="AV129" s="80"/>
      <c r="AW129" s="83"/>
      <c r="AX129" s="80"/>
      <c r="AY129" s="80"/>
      <c r="AZ129" s="80"/>
      <c r="BA129" s="83">
        <f>IFERROR(SUM(RD[[#This Row],[PSEGPL]:[O2R10]]),"")</f>
        <v>102182.6</v>
      </c>
      <c r="BB129" s="80">
        <v>1628</v>
      </c>
      <c r="BC129" s="83">
        <v>253518</v>
      </c>
      <c r="BD129" s="83">
        <v>1406</v>
      </c>
      <c r="BE129" s="83">
        <v>227527</v>
      </c>
      <c r="BF129" s="83">
        <v>2084</v>
      </c>
      <c r="BG129" s="83">
        <v>263802</v>
      </c>
      <c r="BH129" s="83">
        <v>3399</v>
      </c>
      <c r="BI129" s="83">
        <v>250516</v>
      </c>
      <c r="BJ129" s="101">
        <f>IF((RD[[#This Row],[33 kV F5 Export Reading_Gss End]]-AM128)*1000&lt;0,0,(RD[[#This Row],[33 kV F5 Export Reading_Gss End]]-AM128)*1000)</f>
        <v>101834.09999997821</v>
      </c>
      <c r="BK129" s="83">
        <f>IF((RD[[#This Row],[33 kV F5 Import Reading_GSS End2]]-AN128)*1000&lt;0,0,(RD[[#This Row],[33 kV F5 Import Reading_GSS End2]]-AN128)*1000)</f>
        <v>767.20000000000255</v>
      </c>
      <c r="BL129" s="84">
        <f>RD[[#This Row],[Export  (kWh)]]-RD[[#This Row],[Import (kWh)]]</f>
        <v>101066.89999997821</v>
      </c>
      <c r="BM129" s="84">
        <f>RD[[#This Row],[Inverters Generation ( kWh)]]-RD[[#This Row],[Export  (kWh)]]</f>
        <v>348.50000002179877</v>
      </c>
      <c r="BN129">
        <f t="shared" si="21"/>
        <v>44505</v>
      </c>
      <c r="BO129">
        <f t="shared" si="22"/>
        <v>270</v>
      </c>
      <c r="BP129" s="185">
        <f t="shared" si="23"/>
        <v>58170</v>
      </c>
      <c r="BQ129" s="185">
        <f t="shared" si="24"/>
        <v>688.8</v>
      </c>
      <c r="BR129" s="185">
        <f t="shared" si="20"/>
        <v>12.316666666666668</v>
      </c>
      <c r="BT129" s="185">
        <f>RD[[#This Row],[PSEGPL2_Export]]</f>
        <v>58170</v>
      </c>
      <c r="BU129" s="336">
        <f>RD[[#This Row],[O2R10]]+RD[[#This Row],[O2R6]]</f>
        <v>57487.6</v>
      </c>
    </row>
    <row r="130" spans="1:73" ht="15" customHeight="1" x14ac:dyDescent="0.3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315">
        <v>0.26527777777777778</v>
      </c>
      <c r="J130" s="315">
        <v>0.78333333333333333</v>
      </c>
      <c r="K130" s="79">
        <v>4303</v>
      </c>
      <c r="L130" s="79">
        <v>5091</v>
      </c>
      <c r="M130" s="79">
        <v>4352</v>
      </c>
      <c r="N130" s="179">
        <v>4971</v>
      </c>
      <c r="O130" s="179">
        <v>5018</v>
      </c>
      <c r="P130" s="179">
        <v>4306</v>
      </c>
      <c r="Q130" s="179">
        <v>4744</v>
      </c>
      <c r="R130" s="179">
        <v>4200</v>
      </c>
      <c r="S130" s="179">
        <v>4750</v>
      </c>
      <c r="T130" s="179">
        <v>4190</v>
      </c>
      <c r="U130" s="79">
        <v>5493.3</v>
      </c>
      <c r="V130" s="79">
        <v>5523.4</v>
      </c>
      <c r="W130" s="79">
        <v>5728.7</v>
      </c>
      <c r="X130" s="79">
        <v>5724.4</v>
      </c>
      <c r="Y130" s="79">
        <v>5725.2</v>
      </c>
      <c r="Z130" s="79">
        <v>5618.4</v>
      </c>
      <c r="AA130" s="79">
        <v>5638.1</v>
      </c>
      <c r="AB130" s="79">
        <v>5610.8</v>
      </c>
      <c r="AC130" s="79">
        <v>6746</v>
      </c>
      <c r="AD130" s="79">
        <v>7190.9</v>
      </c>
      <c r="AE130" s="79"/>
      <c r="AF130" s="79"/>
      <c r="AG130" s="79"/>
      <c r="AH130" s="79"/>
      <c r="AI130" s="79"/>
      <c r="AJ130" s="79"/>
      <c r="AK130" s="79"/>
      <c r="AL130" s="79"/>
      <c r="AM130" s="80">
        <v>155375.76190000001</v>
      </c>
      <c r="AN130" s="80">
        <v>672.55359999999996</v>
      </c>
      <c r="AO130" s="80"/>
      <c r="AP130" s="80">
        <v>5.484</v>
      </c>
      <c r="AQ130" s="82">
        <v>5.3410000000000002</v>
      </c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5.4087483113673809</v>
      </c>
      <c r="AS130" s="82">
        <f>SUM(RD[[#This Row],[G1 Inv1]:[G5 Inv10]])</f>
        <v>45925</v>
      </c>
      <c r="AT130" s="82">
        <f>SUM(RD[[#This Row],[IS1_Inv1_M1]:[IS1_Inv2_M4]])</f>
        <v>45062.3</v>
      </c>
      <c r="AU130" s="82">
        <f>SUM(RD[[#This Row],[IS2_Inv1]:[IS2_Inv2]])</f>
        <v>13936.9</v>
      </c>
      <c r="AV130" s="80"/>
      <c r="AW130" s="83"/>
      <c r="AX130" s="80"/>
      <c r="AY130" s="80"/>
      <c r="AZ130" s="80"/>
      <c r="BA130" s="83">
        <f>IFERROR(SUM(RD[[#This Row],[PSEGPL]:[O2R10]]),"")</f>
        <v>104924.2</v>
      </c>
      <c r="BB130" s="80">
        <v>1630</v>
      </c>
      <c r="BC130" s="83">
        <v>253984</v>
      </c>
      <c r="BD130" s="83">
        <v>1408</v>
      </c>
      <c r="BE130" s="83">
        <v>227921</v>
      </c>
      <c r="BF130" s="83">
        <v>2088</v>
      </c>
      <c r="BG130" s="83">
        <v>264307</v>
      </c>
      <c r="BH130" s="83">
        <v>3407</v>
      </c>
      <c r="BI130" s="83">
        <v>250985</v>
      </c>
      <c r="BJ130" s="101">
        <f>IF((RD[[#This Row],[33 kV F5 Export Reading_Gss End]]-AM129)*1000&lt;0,0,(RD[[#This Row],[33 kV F5 Export Reading_Gss End]]-AM129)*1000)</f>
        <v>104403.60000001965</v>
      </c>
      <c r="BK130" s="83">
        <f>IF((RD[[#This Row],[33 kV F5 Import Reading_GSS End2]]-AN129)*1000&lt;0,0,(RD[[#This Row],[33 kV F5 Import Reading_GSS End2]]-AN129)*1000)</f>
        <v>882.59999999991123</v>
      </c>
      <c r="BL130" s="84">
        <f>RD[[#This Row],[Export  (kWh)]]-RD[[#This Row],[Import (kWh)]]</f>
        <v>103521.00000001973</v>
      </c>
      <c r="BM130" s="84">
        <f>RD[[#This Row],[Inverters Generation ( kWh)]]-RD[[#This Row],[Export  (kWh)]]</f>
        <v>520.59999998034618</v>
      </c>
      <c r="BN130">
        <f t="shared" si="21"/>
        <v>45690</v>
      </c>
      <c r="BO130">
        <f t="shared" si="22"/>
        <v>210</v>
      </c>
      <c r="BP130" s="185">
        <f t="shared" si="23"/>
        <v>59520</v>
      </c>
      <c r="BQ130" s="185">
        <f t="shared" si="24"/>
        <v>718.8</v>
      </c>
      <c r="BR130" s="185">
        <f t="shared" si="20"/>
        <v>12.433333333333332</v>
      </c>
      <c r="BS130" t="s">
        <v>666</v>
      </c>
    </row>
    <row r="131" spans="1:73" ht="15" customHeight="1" x14ac:dyDescent="0.3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315">
        <v>0.2673611111111111</v>
      </c>
      <c r="J131" s="315">
        <v>0.77777777777777779</v>
      </c>
      <c r="K131" s="79">
        <v>4093</v>
      </c>
      <c r="L131" s="79">
        <v>4704</v>
      </c>
      <c r="M131" s="79">
        <v>4051</v>
      </c>
      <c r="N131" s="179">
        <v>4583</v>
      </c>
      <c r="O131" s="179">
        <v>4832</v>
      </c>
      <c r="P131" s="179">
        <v>4100</v>
      </c>
      <c r="Q131" s="179">
        <v>4557</v>
      </c>
      <c r="R131" s="179">
        <v>4001</v>
      </c>
      <c r="S131" s="179">
        <v>4542</v>
      </c>
      <c r="T131" s="179">
        <v>4009</v>
      </c>
      <c r="U131" s="79">
        <v>5312.6</v>
      </c>
      <c r="V131" s="79">
        <v>5347.7</v>
      </c>
      <c r="W131" s="79">
        <v>5484.2</v>
      </c>
      <c r="X131" s="79">
        <v>5486</v>
      </c>
      <c r="Y131" s="79">
        <v>5481.5</v>
      </c>
      <c r="Z131" s="79">
        <v>5404.9</v>
      </c>
      <c r="AA131" s="79">
        <v>5414</v>
      </c>
      <c r="AB131" s="79">
        <v>5351.2</v>
      </c>
      <c r="AC131" s="79">
        <v>6243.4</v>
      </c>
      <c r="AD131" s="79">
        <v>6679.7</v>
      </c>
      <c r="AE131" s="79"/>
      <c r="AF131" s="79"/>
      <c r="AG131" s="79"/>
      <c r="AH131" s="79"/>
      <c r="AI131" s="79"/>
      <c r="AJ131" s="79"/>
      <c r="AK131" s="79"/>
      <c r="AL131" s="79"/>
      <c r="AM131" s="80">
        <v>155475.09229999999</v>
      </c>
      <c r="AN131" s="80">
        <v>673.25459999999998</v>
      </c>
      <c r="AO131" s="80"/>
      <c r="AP131" s="80">
        <v>5.0780000000000003</v>
      </c>
      <c r="AQ131" s="82">
        <v>5.1189999999999998</v>
      </c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5.0995756589785826</v>
      </c>
      <c r="AS131" s="82">
        <f>SUM(RD[[#This Row],[G1 Inv1]:[G5 Inv10]])</f>
        <v>43472</v>
      </c>
      <c r="AT131" s="82">
        <f>SUM(RD[[#This Row],[IS1_Inv1_M1]:[IS1_Inv2_M4]])</f>
        <v>43282.1</v>
      </c>
      <c r="AU131" s="82">
        <f>SUM(RD[[#This Row],[IS2_Inv1]:[IS2_Inv2]])</f>
        <v>12923.099999999999</v>
      </c>
      <c r="AV131" s="80"/>
      <c r="AW131" s="83"/>
      <c r="AX131" s="80"/>
      <c r="AY131" s="80"/>
      <c r="AZ131" s="80"/>
      <c r="BA131" s="83">
        <f>IFERROR(SUM(RD[[#This Row],[PSEGPL]:[O2R10]]),"")</f>
        <v>99677.200000000012</v>
      </c>
      <c r="BB131" s="80">
        <v>1633</v>
      </c>
      <c r="BC131" s="83">
        <v>254421</v>
      </c>
      <c r="BD131" s="83">
        <v>1410</v>
      </c>
      <c r="BE131" s="83">
        <v>228299</v>
      </c>
      <c r="BF131" s="83">
        <v>2092</v>
      </c>
      <c r="BG131" s="83">
        <v>264794</v>
      </c>
      <c r="BH131" s="83">
        <v>3416</v>
      </c>
      <c r="BI131" s="83">
        <v>251421</v>
      </c>
      <c r="BJ131" s="101">
        <f>IF((RD[[#This Row],[33 kV F5 Export Reading_Gss End]]-AM130)*1000&lt;0,0,(RD[[#This Row],[33 kV F5 Export Reading_Gss End]]-AM130)*1000)</f>
        <v>99330.399999977089</v>
      </c>
      <c r="BK131" s="83">
        <f>IF((RD[[#This Row],[33 kV F5 Import Reading_GSS End2]]-AN130)*1000&lt;0,0,(RD[[#This Row],[33 kV F5 Import Reading_GSS End2]]-AN130)*1000)</f>
        <v>701.00000000002183</v>
      </c>
      <c r="BL131" s="84">
        <f>RD[[#This Row],[Export  (kWh)]]-RD[[#This Row],[Import (kWh)]]</f>
        <v>98629.39999997706</v>
      </c>
      <c r="BM131" s="84">
        <f>RD[[#This Row],[Inverters Generation ( kWh)]]-RD[[#This Row],[Export  (kWh)]]</f>
        <v>346.80000002292218</v>
      </c>
      <c r="BN131">
        <f t="shared" si="21"/>
        <v>43230</v>
      </c>
      <c r="BO131">
        <f t="shared" si="22"/>
        <v>270</v>
      </c>
      <c r="BP131" s="185">
        <f t="shared" si="23"/>
        <v>56910</v>
      </c>
      <c r="BQ131" s="185">
        <f t="shared" si="24"/>
        <v>748.8</v>
      </c>
      <c r="BR131" s="185">
        <f t="shared" si="20"/>
        <v>12.250000000000002</v>
      </c>
      <c r="BS131" t="s">
        <v>666</v>
      </c>
    </row>
    <row r="132" spans="1:73" ht="15" customHeight="1" x14ac:dyDescent="0.3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315">
        <v>0.26805555555555555</v>
      </c>
      <c r="J132" s="315">
        <v>0.76666666666666672</v>
      </c>
      <c r="K132" s="79">
        <v>4064</v>
      </c>
      <c r="L132" s="79">
        <v>4702</v>
      </c>
      <c r="M132" s="79">
        <v>4064</v>
      </c>
      <c r="N132" s="179">
        <v>4639</v>
      </c>
      <c r="O132" s="179">
        <v>4800</v>
      </c>
      <c r="P132" s="179">
        <v>4106</v>
      </c>
      <c r="Q132" s="179">
        <v>4680</v>
      </c>
      <c r="R132" s="179">
        <v>4115</v>
      </c>
      <c r="S132" s="179">
        <v>4530</v>
      </c>
      <c r="T132" s="179">
        <v>4107</v>
      </c>
      <c r="U132" s="79">
        <v>5470</v>
      </c>
      <c r="V132" s="79">
        <v>5462.2</v>
      </c>
      <c r="W132" s="79">
        <v>5596.2</v>
      </c>
      <c r="X132" s="79">
        <v>5605.5</v>
      </c>
      <c r="Y132" s="79">
        <v>5580.9</v>
      </c>
      <c r="Z132" s="79">
        <v>5529.4</v>
      </c>
      <c r="AA132" s="79">
        <v>5587.3</v>
      </c>
      <c r="AB132" s="79">
        <v>5588.7</v>
      </c>
      <c r="AC132" s="79">
        <v>6392.1</v>
      </c>
      <c r="AD132" s="79">
        <v>6888.5</v>
      </c>
      <c r="AE132" s="79"/>
      <c r="AF132" s="79"/>
      <c r="AG132" s="79"/>
      <c r="AH132" s="79"/>
      <c r="AI132" s="79"/>
      <c r="AJ132" s="79"/>
      <c r="AK132" s="79"/>
      <c r="AL132" s="79"/>
      <c r="AM132" s="80">
        <v>155576.09909999999</v>
      </c>
      <c r="AN132" s="80">
        <v>674.28229999999996</v>
      </c>
      <c r="AO132" s="80"/>
      <c r="AP132" s="80">
        <v>5.21</v>
      </c>
      <c r="AQ132" s="82">
        <v>5.25</v>
      </c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5.2310494233937392</v>
      </c>
      <c r="AS132" s="82">
        <f>SUM(RD[[#This Row],[G1 Inv1]:[G5 Inv10]])</f>
        <v>43807</v>
      </c>
      <c r="AT132" s="82">
        <f>SUM(RD[[#This Row],[IS1_Inv1_M1]:[IS1_Inv2_M4]])</f>
        <v>44420.200000000004</v>
      </c>
      <c r="AU132" s="82">
        <f>SUM(RD[[#This Row],[IS2_Inv1]:[IS2_Inv2]])</f>
        <v>13280.6</v>
      </c>
      <c r="AV132" s="80"/>
      <c r="AW132" s="83"/>
      <c r="AX132" s="80"/>
      <c r="AY132" s="80"/>
      <c r="AZ132" s="80"/>
      <c r="BA132" s="83">
        <f>IFERROR(SUM(RD[[#This Row],[PSEGPL]:[O2R10]]),"")</f>
        <v>101507.80000000002</v>
      </c>
      <c r="BB132" s="80">
        <v>1635</v>
      </c>
      <c r="BC132" s="83">
        <v>254859</v>
      </c>
      <c r="BD132" s="83">
        <v>1412</v>
      </c>
      <c r="BE132" s="83">
        <v>228684</v>
      </c>
      <c r="BF132" s="83">
        <v>2096</v>
      </c>
      <c r="BG132" s="83">
        <v>265293</v>
      </c>
      <c r="BH132" s="83">
        <v>3424</v>
      </c>
      <c r="BI132" s="83">
        <v>251868</v>
      </c>
      <c r="BJ132" s="101">
        <f>IF((RD[[#This Row],[33 kV F5 Export Reading_Gss End]]-AM131)*1000&lt;0,0,(RD[[#This Row],[33 kV F5 Export Reading_Gss End]]-AM131)*1000)</f>
        <v>101006.80000000284</v>
      </c>
      <c r="BK132" s="83">
        <f>IF((RD[[#This Row],[33 kV F5 Import Reading_GSS End2]]-AN131)*1000&lt;0,0,(RD[[#This Row],[33 kV F5 Import Reading_GSS End2]]-AN131)*1000)</f>
        <v>1027.6999999999816</v>
      </c>
      <c r="BL132" s="84">
        <f>RD[[#This Row],[Export  (kWh)]]-RD[[#This Row],[Import (kWh)]]</f>
        <v>99979.100000002858</v>
      </c>
      <c r="BM132" s="84">
        <f>RD[[#This Row],[Inverters Generation ( kWh)]]-RD[[#This Row],[Export  (kWh)]]</f>
        <v>500.99999999717693</v>
      </c>
      <c r="BN132">
        <f t="shared" si="21"/>
        <v>43605</v>
      </c>
      <c r="BO132">
        <f t="shared" si="22"/>
        <v>210</v>
      </c>
      <c r="BP132" s="185">
        <f t="shared" si="23"/>
        <v>58320</v>
      </c>
      <c r="BQ132" s="185">
        <f t="shared" si="24"/>
        <v>718.8</v>
      </c>
      <c r="BR132" s="185">
        <f t="shared" si="20"/>
        <v>11.966666666666669</v>
      </c>
    </row>
    <row r="133" spans="1:73" ht="21.75" customHeight="1" x14ac:dyDescent="0.3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3">
        <f>IFERROR(SUM(RD[[#This Row],[PSEGPL]:[O2R10]]),"")</f>
        <v>0</v>
      </c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3" ht="21.75" customHeight="1" x14ac:dyDescent="0.3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3">
        <f>IFERROR(SUM(RD[[#This Row],[PSEGPL]:[O2R10]]),"")</f>
        <v>0</v>
      </c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3" ht="21.75" customHeight="1" x14ac:dyDescent="0.35">
      <c r="A135" s="285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Row],[PSEGPL]:[O2R10]]),"")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IF((RD[[#This Row],[33 kV F5 Import Reading_GSS End2]]-AN134)*1000&lt;0,0,(RD[[#This Row],[33 kV F5 Import Reading_GSS End2]]-AN134)*1000)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AB188" activePane="bottomRight" state="frozen"/>
      <selection pane="topRight" activeCell="I3" sqref="I3"/>
      <selection pane="bottomLeft" activeCell="A4" sqref="A4"/>
      <selection pane="bottomRight" activeCell="AG204" sqref="AG204"/>
    </sheetView>
  </sheetViews>
  <sheetFormatPr defaultColWidth="8.81640625" defaultRowHeight="14.5" x14ac:dyDescent="0.35"/>
  <cols>
    <col min="1" max="1" width="9" style="2" customWidth="1"/>
    <col min="2" max="2" width="11.453125" style="6" customWidth="1"/>
    <col min="3" max="3" width="9.81640625" style="6" customWidth="1"/>
    <col min="4" max="7" width="9" customWidth="1"/>
    <col min="8" max="8" width="9" style="6" customWidth="1"/>
    <col min="9" max="9" width="12.453125" customWidth="1"/>
    <col min="10" max="11" width="10.1796875" customWidth="1"/>
    <col min="12" max="12" width="24.26953125" style="2" customWidth="1"/>
    <col min="13" max="13" width="11" customWidth="1"/>
    <col min="14" max="14" width="11.1796875" style="2" customWidth="1"/>
    <col min="15" max="15" width="20.26953125" customWidth="1"/>
    <col min="16" max="16" width="17.1796875" style="2" customWidth="1"/>
    <col min="17" max="17" width="28.1796875" customWidth="1"/>
    <col min="18" max="18" width="90.453125" customWidth="1"/>
    <col min="19" max="19" width="18.1796875" customWidth="1"/>
    <col min="20" max="20" width="11.81640625" customWidth="1"/>
    <col min="21" max="21" width="11.1796875" customWidth="1"/>
    <col min="22" max="22" width="9.81640625" customWidth="1"/>
    <col min="23" max="23" width="12" customWidth="1"/>
    <col min="24" max="24" width="10" style="2" customWidth="1"/>
    <col min="25" max="26" width="10.1796875" style="2" customWidth="1"/>
    <col min="27" max="27" width="118.81640625" style="2" customWidth="1"/>
    <col min="28" max="28" width="20.453125" style="2" customWidth="1"/>
    <col min="29" max="29" width="9.81640625" style="2" customWidth="1"/>
    <col min="30" max="30" width="15.1796875" style="2" customWidth="1"/>
    <col min="31" max="31" width="14.81640625" style="2" bestFit="1" customWidth="1"/>
    <col min="32" max="32" width="13.1796875" style="2" customWidth="1"/>
    <col min="35" max="35" width="12" bestFit="1" customWidth="1"/>
    <col min="36" max="36" width="13" customWidth="1"/>
  </cols>
  <sheetData>
    <row r="1" spans="1:34" x14ac:dyDescent="0.3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 x14ac:dyDescent="0.3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3.5" x14ac:dyDescent="0.35">
      <c r="A3" s="172" t="s">
        <v>7</v>
      </c>
      <c r="B3" s="173" t="s">
        <v>72</v>
      </c>
      <c r="C3" s="174" t="s">
        <v>116</v>
      </c>
      <c r="D3" s="174" t="s">
        <v>118</v>
      </c>
      <c r="E3" s="174" t="s">
        <v>119</v>
      </c>
      <c r="F3" s="174" t="s">
        <v>120</v>
      </c>
      <c r="G3" s="174" t="s">
        <v>75</v>
      </c>
      <c r="H3" s="174" t="s">
        <v>40</v>
      </c>
      <c r="I3" s="174" t="s">
        <v>145</v>
      </c>
      <c r="J3" s="174" t="s">
        <v>146</v>
      </c>
      <c r="K3" s="174" t="s">
        <v>147</v>
      </c>
      <c r="L3" s="175" t="s">
        <v>148</v>
      </c>
      <c r="M3" s="174" t="s">
        <v>149</v>
      </c>
      <c r="N3" s="174" t="s">
        <v>152</v>
      </c>
      <c r="O3" s="175" t="s">
        <v>150</v>
      </c>
      <c r="P3" s="174" t="s">
        <v>667</v>
      </c>
      <c r="Q3" s="174" t="s">
        <v>153</v>
      </c>
      <c r="R3" s="174" t="s">
        <v>154</v>
      </c>
      <c r="S3" s="174" t="s">
        <v>155</v>
      </c>
      <c r="T3" s="174" t="s">
        <v>156</v>
      </c>
      <c r="U3" s="174" t="s">
        <v>157</v>
      </c>
      <c r="V3" s="174" t="s">
        <v>158</v>
      </c>
      <c r="W3" s="174" t="s">
        <v>159</v>
      </c>
      <c r="X3" s="174" t="s">
        <v>160</v>
      </c>
      <c r="Y3" s="174" t="s">
        <v>161</v>
      </c>
      <c r="Z3" s="174" t="s">
        <v>668</v>
      </c>
      <c r="AA3" s="174" t="s">
        <v>162</v>
      </c>
      <c r="AB3" s="174" t="s">
        <v>163</v>
      </c>
      <c r="AC3" s="176" t="s">
        <v>669</v>
      </c>
      <c r="AD3" s="174" t="s">
        <v>670</v>
      </c>
      <c r="AE3" s="177" t="s">
        <v>166</v>
      </c>
      <c r="AF3" s="174" t="s">
        <v>671</v>
      </c>
      <c r="AG3" s="174" t="s">
        <v>672</v>
      </c>
      <c r="AH3" s="174" t="s">
        <v>673</v>
      </c>
    </row>
    <row r="4" spans="1:34" x14ac:dyDescent="0.3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28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479</v>
      </c>
      <c r="M4" s="150">
        <v>1548.8900000000003</v>
      </c>
      <c r="N4" s="178">
        <v>6.3792833607907759E-2</v>
      </c>
      <c r="O4" s="166" t="s">
        <v>479</v>
      </c>
      <c r="P4" s="149" t="s">
        <v>215</v>
      </c>
      <c r="Q4" s="149" t="s">
        <v>674</v>
      </c>
      <c r="R4" s="149" t="s">
        <v>675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676</v>
      </c>
      <c r="AB4" s="149" t="s">
        <v>173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5"/>
    </row>
    <row r="5" spans="1:34" ht="29" x14ac:dyDescent="0.3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28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17" t="s">
        <v>472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336</v>
      </c>
      <c r="P5" s="306" t="s">
        <v>677</v>
      </c>
      <c r="Q5" s="305" t="s">
        <v>678</v>
      </c>
      <c r="R5" s="149" t="s">
        <v>679</v>
      </c>
      <c r="S5" s="304">
        <v>0.26805555555555555</v>
      </c>
      <c r="T5" s="304">
        <v>0.49305555555555558</v>
      </c>
      <c r="U5" s="304">
        <v>0.49305555555555558</v>
      </c>
      <c r="V5" s="304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5" t="s">
        <v>680</v>
      </c>
      <c r="AB5" s="149" t="s">
        <v>173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29" x14ac:dyDescent="0.3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28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17" t="s">
        <v>472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336</v>
      </c>
      <c r="P6" s="306" t="s">
        <v>677</v>
      </c>
      <c r="Q6" s="305" t="s">
        <v>678</v>
      </c>
      <c r="R6" s="149" t="s">
        <v>681</v>
      </c>
      <c r="S6" s="304">
        <v>0.26805555555555555</v>
      </c>
      <c r="T6" s="304">
        <v>0.49305555555555558</v>
      </c>
      <c r="U6" s="304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5" t="s">
        <v>682</v>
      </c>
      <c r="AB6" s="149" t="s">
        <v>173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29" x14ac:dyDescent="0.3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28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17" t="s">
        <v>472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336</v>
      </c>
      <c r="P7" s="306" t="s">
        <v>677</v>
      </c>
      <c r="Q7" s="305" t="s">
        <v>678</v>
      </c>
      <c r="R7" s="149" t="s">
        <v>683</v>
      </c>
      <c r="S7" s="304">
        <v>0.26805555555555555</v>
      </c>
      <c r="T7" s="304">
        <v>0.49305555555555558</v>
      </c>
      <c r="U7" s="304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5" t="s">
        <v>684</v>
      </c>
      <c r="AB7" s="149" t="s">
        <v>173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29" x14ac:dyDescent="0.3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28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17" t="s">
        <v>472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357</v>
      </c>
      <c r="P8" s="306" t="s">
        <v>677</v>
      </c>
      <c r="Q8" s="305" t="s">
        <v>678</v>
      </c>
      <c r="R8" s="149" t="s">
        <v>685</v>
      </c>
      <c r="S8" s="304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09" t="s">
        <v>686</v>
      </c>
      <c r="AB8" s="149" t="s">
        <v>173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29" x14ac:dyDescent="0.3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28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17" t="s">
        <v>472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399</v>
      </c>
      <c r="P9" s="306" t="s">
        <v>677</v>
      </c>
      <c r="Q9" s="305" t="s">
        <v>678</v>
      </c>
      <c r="R9" s="149" t="s">
        <v>687</v>
      </c>
      <c r="S9" s="304">
        <v>0.26666666666666666</v>
      </c>
      <c r="T9" s="304">
        <v>0.49305555555555558</v>
      </c>
      <c r="U9" s="304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08">
        <f>IFERROR((PA[[#This Row],[Work Completiuon time on fualt]]-PA[[#This Row],[Fault Time]])*24,"")</f>
        <v>7.35</v>
      </c>
      <c r="AA9" s="307" t="s">
        <v>688</v>
      </c>
      <c r="AB9" s="147" t="s">
        <v>173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29" x14ac:dyDescent="0.3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28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17" t="s">
        <v>472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423</v>
      </c>
      <c r="P10" s="306" t="s">
        <v>677</v>
      </c>
      <c r="Q10" s="305" t="s">
        <v>678</v>
      </c>
      <c r="R10" s="149" t="s">
        <v>689</v>
      </c>
      <c r="S10" s="304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08">
        <f>IFERROR((PA[[#This Row],[Work Completiuon time on fualt]]-PA[[#This Row],[Fault Time]])*24,"")</f>
        <v>8.283333333333335</v>
      </c>
      <c r="AA10" s="307" t="s">
        <v>690</v>
      </c>
      <c r="AB10" s="147" t="s">
        <v>173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29" x14ac:dyDescent="0.3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28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17" t="s">
        <v>472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423</v>
      </c>
      <c r="P11" s="306" t="s">
        <v>677</v>
      </c>
      <c r="Q11" s="305" t="s">
        <v>678</v>
      </c>
      <c r="R11" s="149" t="s">
        <v>691</v>
      </c>
      <c r="S11" s="304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08">
        <f>IFERROR((PA[[#This Row],[Work Completiuon time on fualt]]-PA[[#This Row],[Fault Time]])*24,"")</f>
        <v>8.283333333333335</v>
      </c>
      <c r="AA11" s="307" t="s">
        <v>692</v>
      </c>
      <c r="AB11" s="147" t="s">
        <v>173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 x14ac:dyDescent="0.3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0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17" t="s">
        <v>472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423</v>
      </c>
      <c r="P12" s="306" t="s">
        <v>677</v>
      </c>
      <c r="Q12" s="305" t="s">
        <v>678</v>
      </c>
      <c r="R12" s="149" t="s">
        <v>693</v>
      </c>
      <c r="S12" s="304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07" t="s">
        <v>694</v>
      </c>
      <c r="AB12" s="147" t="s">
        <v>173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29" x14ac:dyDescent="0.3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28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17" t="s">
        <v>472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423</v>
      </c>
      <c r="P13" s="306" t="s">
        <v>677</v>
      </c>
      <c r="Q13" s="305" t="s">
        <v>678</v>
      </c>
      <c r="R13" s="149" t="s">
        <v>695</v>
      </c>
      <c r="S13" s="304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08">
        <f>IFERROR((PA[[#This Row],[Work Completiuon time on fualt]]-PA[[#This Row],[Fault Time]])*24,"")</f>
        <v>8.283333333333335</v>
      </c>
      <c r="AA13" s="307" t="s">
        <v>696</v>
      </c>
      <c r="AB13" s="147" t="s">
        <v>173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29" x14ac:dyDescent="0.3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28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17" t="s">
        <v>472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423</v>
      </c>
      <c r="P14" s="306" t="s">
        <v>677</v>
      </c>
      <c r="Q14" s="305" t="s">
        <v>678</v>
      </c>
      <c r="R14" s="149" t="s">
        <v>697</v>
      </c>
      <c r="S14" s="304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07" t="s">
        <v>698</v>
      </c>
      <c r="AB14" s="149" t="s">
        <v>173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29" x14ac:dyDescent="0.3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28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17" t="s">
        <v>472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454</v>
      </c>
      <c r="P15" s="306" t="s">
        <v>677</v>
      </c>
      <c r="Q15" s="305" t="s">
        <v>678</v>
      </c>
      <c r="R15" s="149" t="s">
        <v>699</v>
      </c>
      <c r="S15" s="304">
        <v>0.26666666666666666</v>
      </c>
      <c r="T15" s="304">
        <v>0.49305555555555558</v>
      </c>
      <c r="U15" s="304">
        <v>0.49305555555555558</v>
      </c>
      <c r="V15" s="304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07" t="s">
        <v>700</v>
      </c>
      <c r="AB15" s="149" t="s">
        <v>173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29" x14ac:dyDescent="0.3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28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17" t="s">
        <v>472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439</v>
      </c>
      <c r="P16" s="306" t="s">
        <v>677</v>
      </c>
      <c r="Q16" s="305" t="s">
        <v>678</v>
      </c>
      <c r="R16" s="149" t="s">
        <v>701</v>
      </c>
      <c r="S16" s="304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07" t="s">
        <v>702</v>
      </c>
      <c r="AB16" s="149" t="s">
        <v>173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29" x14ac:dyDescent="0.3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28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17" t="s">
        <v>472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433</v>
      </c>
      <c r="P17" s="306" t="s">
        <v>677</v>
      </c>
      <c r="Q17" s="305" t="s">
        <v>678</v>
      </c>
      <c r="R17" s="149" t="s">
        <v>703</v>
      </c>
      <c r="S17" s="304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07" t="s">
        <v>704</v>
      </c>
      <c r="AB17" s="149" t="s">
        <v>173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29" x14ac:dyDescent="0.3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28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17" t="s">
        <v>472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433</v>
      </c>
      <c r="P18" s="306" t="s">
        <v>677</v>
      </c>
      <c r="Q18" s="305" t="s">
        <v>678</v>
      </c>
      <c r="R18" s="149" t="s">
        <v>705</v>
      </c>
      <c r="S18" s="304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07" t="s">
        <v>706</v>
      </c>
      <c r="AB18" s="149" t="s">
        <v>173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 x14ac:dyDescent="0.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28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479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707</v>
      </c>
      <c r="P19" s="149" t="s">
        <v>708</v>
      </c>
      <c r="Q19" s="149" t="s">
        <v>708</v>
      </c>
      <c r="R19" s="149" t="s">
        <v>709</v>
      </c>
      <c r="S19" s="304">
        <v>0.55902777777777779</v>
      </c>
      <c r="T19" s="304">
        <v>0.55902777777777779</v>
      </c>
      <c r="U19" s="304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2" t="s">
        <v>710</v>
      </c>
      <c r="AB19" s="149" t="s">
        <v>173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711</v>
      </c>
      <c r="AG19" s="150"/>
      <c r="AH19" s="150"/>
    </row>
    <row r="20" spans="1:35" x14ac:dyDescent="0.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28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479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707</v>
      </c>
      <c r="P20" s="149" t="s">
        <v>708</v>
      </c>
      <c r="Q20" s="149" t="s">
        <v>708</v>
      </c>
      <c r="R20" s="149" t="s">
        <v>709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2" t="s">
        <v>712</v>
      </c>
      <c r="AB20" s="149" t="s">
        <v>173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 x14ac:dyDescent="0.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28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539</v>
      </c>
      <c r="M21" s="150">
        <v>9824.91</v>
      </c>
      <c r="N21" s="178">
        <v>0.40358731466227349</v>
      </c>
      <c r="O21" s="149" t="s">
        <v>539</v>
      </c>
      <c r="P21" s="149" t="s">
        <v>713</v>
      </c>
      <c r="Q21" s="149" t="s">
        <v>713</v>
      </c>
      <c r="R21" s="149" t="s">
        <v>714</v>
      </c>
      <c r="S21" s="304">
        <v>0.6875</v>
      </c>
      <c r="T21" s="304">
        <v>0.6875</v>
      </c>
      <c r="U21" s="304">
        <v>0.6875</v>
      </c>
      <c r="V21" s="304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2" t="s">
        <v>715</v>
      </c>
      <c r="AB21" s="149" t="s">
        <v>173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 x14ac:dyDescent="0.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28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462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462</v>
      </c>
      <c r="P22" s="149" t="s">
        <v>716</v>
      </c>
      <c r="Q22" s="149" t="s">
        <v>717</v>
      </c>
      <c r="R22" s="149" t="s">
        <v>718</v>
      </c>
      <c r="S22" s="304">
        <v>0.26874999999999999</v>
      </c>
      <c r="T22" s="304">
        <v>0.26874999999999999</v>
      </c>
      <c r="U22" s="304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2" t="s">
        <v>719</v>
      </c>
      <c r="AB22" s="149" t="s">
        <v>173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 x14ac:dyDescent="0.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28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463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463</v>
      </c>
      <c r="P23" s="149" t="s">
        <v>716</v>
      </c>
      <c r="Q23" s="149" t="s">
        <v>717</v>
      </c>
      <c r="R23" s="149" t="s">
        <v>720</v>
      </c>
      <c r="S23" s="304">
        <v>0.26874999999999999</v>
      </c>
      <c r="T23" s="304">
        <v>0.26874999999999999</v>
      </c>
      <c r="U23" s="304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2" t="s">
        <v>719</v>
      </c>
      <c r="AB23" s="149" t="s">
        <v>173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 x14ac:dyDescent="0.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28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464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464</v>
      </c>
      <c r="P24" s="149" t="s">
        <v>716</v>
      </c>
      <c r="Q24" s="149" t="s">
        <v>717</v>
      </c>
      <c r="R24" s="149" t="s">
        <v>721</v>
      </c>
      <c r="S24" s="304">
        <v>0.26874999999999999</v>
      </c>
      <c r="T24" s="304">
        <v>0.26874999999999999</v>
      </c>
      <c r="U24" s="304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2" t="s">
        <v>719</v>
      </c>
      <c r="AB24" s="149" t="s">
        <v>173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 x14ac:dyDescent="0.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28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458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458</v>
      </c>
      <c r="P25" s="149" t="s">
        <v>713</v>
      </c>
      <c r="Q25" s="149" t="s">
        <v>713</v>
      </c>
      <c r="R25" s="166" t="s">
        <v>722</v>
      </c>
      <c r="S25" s="304">
        <v>0.72222222222222221</v>
      </c>
      <c r="T25" s="304">
        <v>0.72222222222222221</v>
      </c>
      <c r="U25" s="304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723</v>
      </c>
      <c r="AB25" s="149" t="s">
        <v>173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 x14ac:dyDescent="0.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28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208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208</v>
      </c>
      <c r="P26" s="149" t="s">
        <v>724</v>
      </c>
      <c r="Q26" s="149" t="s">
        <v>725</v>
      </c>
      <c r="R26" s="149" t="s">
        <v>726</v>
      </c>
      <c r="S26" s="304">
        <v>0.25624999999999998</v>
      </c>
      <c r="T26" s="304">
        <v>0.26041666666666669</v>
      </c>
      <c r="U26" s="304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2" t="s">
        <v>727</v>
      </c>
      <c r="AB26" s="149" t="s">
        <v>173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29" x14ac:dyDescent="0.3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28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229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229</v>
      </c>
      <c r="P27" s="217" t="s">
        <v>728</v>
      </c>
      <c r="Q27" s="217" t="s">
        <v>729</v>
      </c>
      <c r="R27" s="149" t="s">
        <v>730</v>
      </c>
      <c r="S27" s="304">
        <v>0.67777777777777781</v>
      </c>
      <c r="T27" s="304">
        <v>0.6875</v>
      </c>
      <c r="U27" s="304">
        <v>0.6875</v>
      </c>
      <c r="V27" s="304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2" t="s">
        <v>731</v>
      </c>
      <c r="AB27" s="149" t="s">
        <v>198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17"/>
    </row>
    <row r="28" spans="1:35" ht="29" x14ac:dyDescent="0.3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28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229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229</v>
      </c>
      <c r="P28" s="217" t="s">
        <v>728</v>
      </c>
      <c r="Q28" s="217" t="s">
        <v>729</v>
      </c>
      <c r="R28" s="149" t="s">
        <v>732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2" t="s">
        <v>731</v>
      </c>
      <c r="AB28" s="149" t="s">
        <v>198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17"/>
    </row>
    <row r="29" spans="1:35" ht="29" x14ac:dyDescent="0.3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28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229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229</v>
      </c>
      <c r="P29" s="217" t="s">
        <v>728</v>
      </c>
      <c r="Q29" s="217" t="s">
        <v>729</v>
      </c>
      <c r="R29" s="149" t="s">
        <v>732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2" t="s">
        <v>731</v>
      </c>
      <c r="AB29" s="149" t="s">
        <v>198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17"/>
    </row>
    <row r="30" spans="1:35" ht="29" x14ac:dyDescent="0.3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28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229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229</v>
      </c>
      <c r="P30" s="217" t="s">
        <v>728</v>
      </c>
      <c r="Q30" s="217" t="s">
        <v>729</v>
      </c>
      <c r="R30" s="149" t="s">
        <v>732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2" t="s">
        <v>731</v>
      </c>
      <c r="AB30" s="149" t="s">
        <v>198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17"/>
    </row>
    <row r="31" spans="1:35" ht="29" x14ac:dyDescent="0.3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28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229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229</v>
      </c>
      <c r="P31" s="217" t="s">
        <v>728</v>
      </c>
      <c r="Q31" s="217" t="s">
        <v>729</v>
      </c>
      <c r="R31" s="149" t="s">
        <v>732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2" t="s">
        <v>731</v>
      </c>
      <c r="AB31" s="149" t="s">
        <v>198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17"/>
    </row>
    <row r="32" spans="1:35" ht="29" x14ac:dyDescent="0.3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28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229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229</v>
      </c>
      <c r="P32" s="217" t="s">
        <v>728</v>
      </c>
      <c r="Q32" s="217" t="s">
        <v>729</v>
      </c>
      <c r="R32" s="149" t="s">
        <v>732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2" t="s">
        <v>731</v>
      </c>
      <c r="AB32" s="149" t="s">
        <v>198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17"/>
    </row>
    <row r="33" spans="1:35" ht="29" x14ac:dyDescent="0.3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28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229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229</v>
      </c>
      <c r="P33" s="217" t="s">
        <v>728</v>
      </c>
      <c r="Q33" s="217" t="s">
        <v>729</v>
      </c>
      <c r="R33" s="149" t="s">
        <v>732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2" t="s">
        <v>731</v>
      </c>
      <c r="AB33" s="149" t="s">
        <v>198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17"/>
    </row>
    <row r="34" spans="1:35" ht="29" x14ac:dyDescent="0.3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28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229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229</v>
      </c>
      <c r="P34" s="217" t="s">
        <v>728</v>
      </c>
      <c r="Q34" s="217" t="s">
        <v>729</v>
      </c>
      <c r="R34" s="149" t="s">
        <v>732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2" t="s">
        <v>731</v>
      </c>
      <c r="AB34" s="149" t="s">
        <v>198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17"/>
    </row>
    <row r="35" spans="1:35" ht="29" x14ac:dyDescent="0.3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28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229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229</v>
      </c>
      <c r="P35" s="217" t="s">
        <v>728</v>
      </c>
      <c r="Q35" s="217" t="s">
        <v>729</v>
      </c>
      <c r="R35" s="149" t="s">
        <v>732</v>
      </c>
      <c r="S35" s="315">
        <v>0.25694444444444442</v>
      </c>
      <c r="T35" s="315">
        <v>0.25694444444444442</v>
      </c>
      <c r="U35" s="315">
        <v>0.25694444444444442</v>
      </c>
      <c r="V35" s="315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2" t="s">
        <v>731</v>
      </c>
      <c r="AB35" s="149" t="s">
        <v>198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17"/>
    </row>
    <row r="36" spans="1:35" x14ac:dyDescent="0.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28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208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208</v>
      </c>
      <c r="P36" s="149" t="s">
        <v>215</v>
      </c>
      <c r="Q36" s="149" t="s">
        <v>733</v>
      </c>
      <c r="R36" s="312" t="s">
        <v>734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2" t="s">
        <v>735</v>
      </c>
      <c r="AB36" s="149" t="s">
        <v>173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17"/>
    </row>
    <row r="37" spans="1:35" ht="29" x14ac:dyDescent="0.3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28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229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229</v>
      </c>
      <c r="P37" s="217" t="s">
        <v>728</v>
      </c>
      <c r="Q37" s="217" t="s">
        <v>729</v>
      </c>
      <c r="R37" s="149" t="s">
        <v>732</v>
      </c>
      <c r="S37" s="315">
        <v>0.25694444444444442</v>
      </c>
      <c r="T37" s="315">
        <v>0.25694444444444442</v>
      </c>
      <c r="U37" s="315">
        <v>0.25694444444444442</v>
      </c>
      <c r="V37" s="315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2" t="s">
        <v>731</v>
      </c>
      <c r="AB37" s="149" t="s">
        <v>198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17"/>
    </row>
    <row r="38" spans="1:35" ht="29" x14ac:dyDescent="0.3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28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214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214</v>
      </c>
      <c r="P38" s="217" t="s">
        <v>736</v>
      </c>
      <c r="Q38" s="217" t="s">
        <v>729</v>
      </c>
      <c r="R38" s="149" t="s">
        <v>737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2" t="s">
        <v>738</v>
      </c>
      <c r="AB38" s="149" t="s">
        <v>173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17"/>
    </row>
    <row r="39" spans="1:35" ht="29" x14ac:dyDescent="0.3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28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229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229</v>
      </c>
      <c r="P39" s="217" t="s">
        <v>728</v>
      </c>
      <c r="Q39" s="217" t="s">
        <v>729</v>
      </c>
      <c r="R39" s="149" t="s">
        <v>732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2" t="s">
        <v>731</v>
      </c>
      <c r="AB39" s="149" t="s">
        <v>198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17"/>
    </row>
    <row r="40" spans="1:35" x14ac:dyDescent="0.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0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214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214</v>
      </c>
      <c r="P40" s="217" t="s">
        <v>739</v>
      </c>
      <c r="Q40" s="217" t="s">
        <v>740</v>
      </c>
      <c r="R40" s="149" t="s">
        <v>741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2" t="s">
        <v>742</v>
      </c>
      <c r="AB40" s="149" t="s">
        <v>173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17"/>
    </row>
    <row r="41" spans="1:35" ht="29" x14ac:dyDescent="0.3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28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229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229</v>
      </c>
      <c r="P41" s="217" t="s">
        <v>728</v>
      </c>
      <c r="Q41" s="217" t="s">
        <v>729</v>
      </c>
      <c r="R41" s="149" t="s">
        <v>732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2" t="s">
        <v>731</v>
      </c>
      <c r="AB41" s="149" t="s">
        <v>198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29" x14ac:dyDescent="0.3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0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229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229</v>
      </c>
      <c r="P42" s="217" t="s">
        <v>728</v>
      </c>
      <c r="Q42" s="217" t="s">
        <v>729</v>
      </c>
      <c r="R42" s="149" t="s">
        <v>732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2" t="s">
        <v>731</v>
      </c>
      <c r="AB42" s="149" t="s">
        <v>198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29" x14ac:dyDescent="0.3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0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473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743</v>
      </c>
      <c r="P43" s="306" t="s">
        <v>677</v>
      </c>
      <c r="Q43" s="305" t="s">
        <v>678</v>
      </c>
      <c r="R43" s="149" t="s">
        <v>744</v>
      </c>
      <c r="S43" s="304">
        <v>0.45833333333333331</v>
      </c>
      <c r="T43" s="304">
        <v>0.45833333333333331</v>
      </c>
      <c r="U43" s="304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2" t="s">
        <v>745</v>
      </c>
      <c r="AB43" s="149" t="s">
        <v>173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29" x14ac:dyDescent="0.3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0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473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743</v>
      </c>
      <c r="P44" s="306" t="s">
        <v>677</v>
      </c>
      <c r="Q44" s="305" t="s">
        <v>678</v>
      </c>
      <c r="R44" s="149" t="s">
        <v>746</v>
      </c>
      <c r="S44" s="304">
        <v>0.45833333333333331</v>
      </c>
      <c r="T44" s="304">
        <v>0.45833333333333331</v>
      </c>
      <c r="U44" s="304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2" t="s">
        <v>747</v>
      </c>
      <c r="AB44" s="149" t="s">
        <v>173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29" x14ac:dyDescent="0.3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0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473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743</v>
      </c>
      <c r="P45" s="306" t="s">
        <v>677</v>
      </c>
      <c r="Q45" s="305" t="s">
        <v>678</v>
      </c>
      <c r="R45" s="149" t="s">
        <v>748</v>
      </c>
      <c r="S45" s="304">
        <v>0.45833333333333331</v>
      </c>
      <c r="T45" s="304">
        <v>0.45833333333333331</v>
      </c>
      <c r="U45" s="304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2" t="s">
        <v>749</v>
      </c>
      <c r="AB45" s="149" t="s">
        <v>173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29" x14ac:dyDescent="0.3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0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473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743</v>
      </c>
      <c r="P46" s="306" t="s">
        <v>677</v>
      </c>
      <c r="Q46" s="305" t="s">
        <v>678</v>
      </c>
      <c r="R46" s="149" t="s">
        <v>750</v>
      </c>
      <c r="S46" s="304">
        <v>0.45833333333333331</v>
      </c>
      <c r="T46" s="304">
        <v>0.45833333333333331</v>
      </c>
      <c r="U46" s="304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2" t="s">
        <v>751</v>
      </c>
      <c r="AB46" s="149" t="s">
        <v>173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29" x14ac:dyDescent="0.3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0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229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229</v>
      </c>
      <c r="P47" s="217" t="s">
        <v>728</v>
      </c>
      <c r="Q47" s="217" t="s">
        <v>729</v>
      </c>
      <c r="R47" s="149" t="s">
        <v>732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2" t="s">
        <v>731</v>
      </c>
      <c r="AB47" s="149" t="s">
        <v>198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29" x14ac:dyDescent="0.3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0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229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229</v>
      </c>
      <c r="P48" s="217" t="s">
        <v>728</v>
      </c>
      <c r="Q48" s="217" t="s">
        <v>729</v>
      </c>
      <c r="R48" s="149" t="s">
        <v>732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2" t="s">
        <v>731</v>
      </c>
      <c r="AB48" s="149" t="s">
        <v>198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29" x14ac:dyDescent="0.3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0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229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229</v>
      </c>
      <c r="P49" s="217" t="s">
        <v>728</v>
      </c>
      <c r="Q49" s="217" t="s">
        <v>729</v>
      </c>
      <c r="R49" s="149" t="s">
        <v>732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2" t="s">
        <v>731</v>
      </c>
      <c r="AB49" s="149" t="s">
        <v>198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29" x14ac:dyDescent="0.3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0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229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229</v>
      </c>
      <c r="P50" s="217" t="s">
        <v>728</v>
      </c>
      <c r="Q50" s="217" t="s">
        <v>729</v>
      </c>
      <c r="R50" s="149" t="s">
        <v>732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2" t="s">
        <v>731</v>
      </c>
      <c r="AB50" s="149" t="s">
        <v>198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29" x14ac:dyDescent="0.3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0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229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229</v>
      </c>
      <c r="P51" s="217" t="s">
        <v>728</v>
      </c>
      <c r="Q51" s="217" t="s">
        <v>729</v>
      </c>
      <c r="R51" s="149" t="s">
        <v>732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2" t="s">
        <v>731</v>
      </c>
      <c r="AB51" s="149" t="s">
        <v>198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29" x14ac:dyDescent="0.3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0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229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229</v>
      </c>
      <c r="P52" s="217" t="s">
        <v>728</v>
      </c>
      <c r="Q52" s="217" t="s">
        <v>729</v>
      </c>
      <c r="R52" s="149" t="s">
        <v>732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2" t="s">
        <v>731</v>
      </c>
      <c r="AB52" s="149" t="s">
        <v>198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29" x14ac:dyDescent="0.3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0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208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208</v>
      </c>
      <c r="P53" s="217" t="s">
        <v>752</v>
      </c>
      <c r="Q53" s="217" t="s">
        <v>752</v>
      </c>
      <c r="R53" s="149" t="s">
        <v>753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17" t="s">
        <v>754</v>
      </c>
      <c r="AB53" s="149" t="s">
        <v>173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 x14ac:dyDescent="0.3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0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194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194</v>
      </c>
      <c r="P54" s="149" t="s">
        <v>755</v>
      </c>
      <c r="Q54" s="149" t="s">
        <v>733</v>
      </c>
      <c r="R54" s="149" t="s">
        <v>756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2" t="s">
        <v>757</v>
      </c>
      <c r="AB54" s="149" t="s">
        <v>173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29" x14ac:dyDescent="0.3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0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229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229</v>
      </c>
      <c r="P55" s="217" t="s">
        <v>728</v>
      </c>
      <c r="Q55" s="217" t="s">
        <v>729</v>
      </c>
      <c r="R55" s="149" t="s">
        <v>732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2" t="s">
        <v>731</v>
      </c>
      <c r="AB55" s="149" t="s">
        <v>198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29" x14ac:dyDescent="0.3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0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229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229</v>
      </c>
      <c r="P56" s="217" t="s">
        <v>728</v>
      </c>
      <c r="Q56" s="217" t="s">
        <v>729</v>
      </c>
      <c r="R56" s="149" t="s">
        <v>732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2" t="s">
        <v>731</v>
      </c>
      <c r="AB56" s="149" t="s">
        <v>198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 x14ac:dyDescent="0.3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0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225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225</v>
      </c>
      <c r="P57" s="149" t="s">
        <v>755</v>
      </c>
      <c r="Q57" s="149" t="s">
        <v>733</v>
      </c>
      <c r="R57" s="149" t="s">
        <v>758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2" t="s">
        <v>757</v>
      </c>
      <c r="AB57" s="149" t="s">
        <v>173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 x14ac:dyDescent="0.3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0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214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214</v>
      </c>
      <c r="P58" s="217" t="s">
        <v>739</v>
      </c>
      <c r="Q58" s="217" t="s">
        <v>740</v>
      </c>
      <c r="R58" s="149" t="s">
        <v>741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2" t="s">
        <v>742</v>
      </c>
      <c r="AB58" s="149" t="s">
        <v>173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29" x14ac:dyDescent="0.3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0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229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229</v>
      </c>
      <c r="P59" s="217" t="s">
        <v>728</v>
      </c>
      <c r="Q59" s="217" t="s">
        <v>729</v>
      </c>
      <c r="R59" s="149" t="s">
        <v>732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2" t="s">
        <v>731</v>
      </c>
      <c r="AB59" s="149" t="s">
        <v>198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29" x14ac:dyDescent="0.3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0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229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229</v>
      </c>
      <c r="P60" s="217" t="s">
        <v>728</v>
      </c>
      <c r="Q60" s="217" t="s">
        <v>729</v>
      </c>
      <c r="R60" s="149" t="s">
        <v>732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2" t="s">
        <v>731</v>
      </c>
      <c r="AB60" s="149" t="s">
        <v>198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29" x14ac:dyDescent="0.3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0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229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229</v>
      </c>
      <c r="P61" s="217" t="s">
        <v>728</v>
      </c>
      <c r="Q61" s="217" t="s">
        <v>729</v>
      </c>
      <c r="R61" s="149" t="s">
        <v>732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2" t="s">
        <v>731</v>
      </c>
      <c r="AB61" s="149" t="s">
        <v>198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 x14ac:dyDescent="0.3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0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469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469</v>
      </c>
      <c r="P62" s="149" t="s">
        <v>759</v>
      </c>
      <c r="Q62" s="149" t="s">
        <v>760</v>
      </c>
      <c r="R62" s="154" t="s">
        <v>761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2" t="s">
        <v>762</v>
      </c>
      <c r="AB62" s="149" t="s">
        <v>763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 x14ac:dyDescent="0.3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0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536</v>
      </c>
      <c r="M63" s="180">
        <v>11503</v>
      </c>
      <c r="N63" s="181">
        <v>0.47376441515650741</v>
      </c>
      <c r="O63" s="166" t="s">
        <v>764</v>
      </c>
      <c r="P63" s="149" t="s">
        <v>713</v>
      </c>
      <c r="Q63" s="149" t="s">
        <v>713</v>
      </c>
      <c r="R63" s="154" t="s">
        <v>761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2" t="s">
        <v>762</v>
      </c>
      <c r="AB63" s="149" t="s">
        <v>173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 x14ac:dyDescent="0.3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0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225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225</v>
      </c>
      <c r="P64" s="149" t="s">
        <v>755</v>
      </c>
      <c r="Q64" s="149" t="s">
        <v>733</v>
      </c>
      <c r="R64" s="149" t="s">
        <v>758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2" t="s">
        <v>762</v>
      </c>
      <c r="AB64" s="149" t="s">
        <v>173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29" x14ac:dyDescent="0.3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0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229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229</v>
      </c>
      <c r="P65" s="217" t="s">
        <v>728</v>
      </c>
      <c r="Q65" s="217" t="s">
        <v>729</v>
      </c>
      <c r="R65" s="149" t="s">
        <v>732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2" t="s">
        <v>731</v>
      </c>
      <c r="AB65" s="149" t="s">
        <v>198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29" x14ac:dyDescent="0.3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0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208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208</v>
      </c>
      <c r="P66" s="217" t="s">
        <v>765</v>
      </c>
      <c r="Q66" s="149" t="s">
        <v>766</v>
      </c>
      <c r="R66" s="154" t="s">
        <v>767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2" t="s">
        <v>762</v>
      </c>
      <c r="AB66" s="149" t="s">
        <v>173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 x14ac:dyDescent="0.3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0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214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214</v>
      </c>
      <c r="P67" s="149" t="s">
        <v>713</v>
      </c>
      <c r="Q67" s="149" t="s">
        <v>713</v>
      </c>
      <c r="R67" s="154" t="s">
        <v>768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2" t="s">
        <v>762</v>
      </c>
      <c r="AB67" s="149" t="s">
        <v>173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29" x14ac:dyDescent="0.3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0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229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229</v>
      </c>
      <c r="P68" s="217" t="s">
        <v>728</v>
      </c>
      <c r="Q68" s="217" t="s">
        <v>729</v>
      </c>
      <c r="R68" s="149" t="s">
        <v>732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2" t="s">
        <v>731</v>
      </c>
      <c r="AB68" s="149" t="s">
        <v>198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 x14ac:dyDescent="0.3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0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469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469</v>
      </c>
      <c r="P69" s="149" t="s">
        <v>759</v>
      </c>
      <c r="Q69" s="149" t="s">
        <v>769</v>
      </c>
      <c r="R69" s="154" t="s">
        <v>770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2" t="s">
        <v>762</v>
      </c>
      <c r="AB69" s="149" t="s">
        <v>173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29" x14ac:dyDescent="0.3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0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229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229</v>
      </c>
      <c r="P70" s="217" t="s">
        <v>728</v>
      </c>
      <c r="Q70" s="217" t="s">
        <v>729</v>
      </c>
      <c r="R70" s="149" t="s">
        <v>732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2" t="s">
        <v>742</v>
      </c>
      <c r="AB70" s="149" t="s">
        <v>198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29" x14ac:dyDescent="0.3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0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469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469</v>
      </c>
      <c r="P71" s="217" t="s">
        <v>771</v>
      </c>
      <c r="Q71" s="217" t="s">
        <v>771</v>
      </c>
      <c r="R71" s="154" t="s">
        <v>772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2" t="s">
        <v>762</v>
      </c>
      <c r="AB71" s="149" t="s">
        <v>173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29" x14ac:dyDescent="0.3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0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468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468</v>
      </c>
      <c r="P72" s="217" t="s">
        <v>771</v>
      </c>
      <c r="Q72" s="217" t="s">
        <v>771</v>
      </c>
      <c r="R72" s="154" t="s">
        <v>772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2" t="s">
        <v>762</v>
      </c>
      <c r="AB72" s="149" t="s">
        <v>173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29" x14ac:dyDescent="0.3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0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229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229</v>
      </c>
      <c r="P73" s="217" t="s">
        <v>728</v>
      </c>
      <c r="Q73" s="217" t="s">
        <v>729</v>
      </c>
      <c r="R73" s="149" t="s">
        <v>732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2" t="s">
        <v>731</v>
      </c>
      <c r="AB73" s="149" t="s">
        <v>198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 x14ac:dyDescent="0.3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0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225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225</v>
      </c>
      <c r="P74" s="149" t="s">
        <v>755</v>
      </c>
      <c r="Q74" s="149" t="s">
        <v>733</v>
      </c>
      <c r="R74" s="149" t="s">
        <v>758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2" t="s">
        <v>757</v>
      </c>
      <c r="AB74" s="149" t="s">
        <v>173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29" x14ac:dyDescent="0.3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0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229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229</v>
      </c>
      <c r="P75" s="217" t="s">
        <v>728</v>
      </c>
      <c r="Q75" s="217" t="s">
        <v>729</v>
      </c>
      <c r="R75" s="149" t="s">
        <v>732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2" t="s">
        <v>731</v>
      </c>
      <c r="AB75" s="149" t="s">
        <v>198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 x14ac:dyDescent="0.3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0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225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225</v>
      </c>
      <c r="P76" s="149" t="s">
        <v>755</v>
      </c>
      <c r="Q76" s="149" t="s">
        <v>733</v>
      </c>
      <c r="R76" s="149" t="s">
        <v>758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2" t="s">
        <v>757</v>
      </c>
      <c r="AB76" s="149" t="s">
        <v>173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29" x14ac:dyDescent="0.3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0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229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229</v>
      </c>
      <c r="P77" s="217" t="s">
        <v>728</v>
      </c>
      <c r="Q77" s="217" t="s">
        <v>729</v>
      </c>
      <c r="R77" s="149" t="s">
        <v>732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2" t="s">
        <v>731</v>
      </c>
      <c r="AB77" s="149" t="s">
        <v>198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29" x14ac:dyDescent="0.3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0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229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229</v>
      </c>
      <c r="P78" s="217" t="s">
        <v>728</v>
      </c>
      <c r="Q78" s="217" t="s">
        <v>729</v>
      </c>
      <c r="R78" s="149" t="s">
        <v>732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2" t="s">
        <v>757</v>
      </c>
      <c r="AB78" s="149" t="s">
        <v>173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 x14ac:dyDescent="0.3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0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214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214</v>
      </c>
      <c r="P79" s="217" t="s">
        <v>739</v>
      </c>
      <c r="Q79" s="217" t="s">
        <v>740</v>
      </c>
      <c r="R79" s="149" t="s">
        <v>741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2" t="s">
        <v>742</v>
      </c>
      <c r="AB79" s="149" t="s">
        <v>173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 x14ac:dyDescent="0.3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0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473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773</v>
      </c>
      <c r="P80" s="149" t="s">
        <v>774</v>
      </c>
      <c r="Q80" s="149" t="s">
        <v>774</v>
      </c>
      <c r="R80" s="149" t="s">
        <v>775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07" t="s">
        <v>776</v>
      </c>
      <c r="AB80" s="149" t="s">
        <v>173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 x14ac:dyDescent="0.3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0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473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773</v>
      </c>
      <c r="P81" s="149" t="s">
        <v>774</v>
      </c>
      <c r="Q81" s="149" t="s">
        <v>774</v>
      </c>
      <c r="R81" s="149" t="s">
        <v>777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07" t="s">
        <v>776</v>
      </c>
      <c r="AB81" s="149" t="s">
        <v>173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 x14ac:dyDescent="0.3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0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473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773</v>
      </c>
      <c r="P82" s="149" t="s">
        <v>774</v>
      </c>
      <c r="Q82" s="149" t="s">
        <v>774</v>
      </c>
      <c r="R82" s="149" t="s">
        <v>778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07" t="s">
        <v>776</v>
      </c>
      <c r="AB82" s="149" t="s">
        <v>173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 x14ac:dyDescent="0.3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0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473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773</v>
      </c>
      <c r="P83" s="149" t="s">
        <v>774</v>
      </c>
      <c r="Q83" s="149" t="s">
        <v>774</v>
      </c>
      <c r="R83" s="149" t="s">
        <v>779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07" t="s">
        <v>776</v>
      </c>
      <c r="AB83" s="149" t="s">
        <v>173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 x14ac:dyDescent="0.3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0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473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773</v>
      </c>
      <c r="P84" s="149" t="s">
        <v>774</v>
      </c>
      <c r="Q84" s="149" t="s">
        <v>774</v>
      </c>
      <c r="R84" s="149" t="s">
        <v>780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07" t="s">
        <v>776</v>
      </c>
      <c r="AB84" s="149" t="s">
        <v>173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 x14ac:dyDescent="0.3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0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214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214</v>
      </c>
      <c r="P85" s="217" t="s">
        <v>739</v>
      </c>
      <c r="Q85" s="217" t="s">
        <v>740</v>
      </c>
      <c r="R85" s="149" t="s">
        <v>741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2" t="s">
        <v>742</v>
      </c>
      <c r="AB85" s="149" t="s">
        <v>173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 x14ac:dyDescent="0.3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0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473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781</v>
      </c>
      <c r="P86" s="149" t="s">
        <v>782</v>
      </c>
      <c r="Q86" s="149" t="s">
        <v>782</v>
      </c>
      <c r="R86" s="149" t="s">
        <v>783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2" t="s">
        <v>784</v>
      </c>
      <c r="AB86" s="149" t="s">
        <v>173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 x14ac:dyDescent="0.3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0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473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785</v>
      </c>
      <c r="P87" s="149" t="s">
        <v>782</v>
      </c>
      <c r="Q87" s="149" t="s">
        <v>782</v>
      </c>
      <c r="R87" s="149" t="s">
        <v>786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2" t="s">
        <v>784</v>
      </c>
      <c r="AB87" s="149" t="s">
        <v>173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 x14ac:dyDescent="0.3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0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473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787</v>
      </c>
      <c r="P88" s="149" t="s">
        <v>782</v>
      </c>
      <c r="Q88" s="149" t="s">
        <v>782</v>
      </c>
      <c r="R88" s="149" t="s">
        <v>788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2" t="s">
        <v>784</v>
      </c>
      <c r="AB88" s="149" t="s">
        <v>173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 x14ac:dyDescent="0.3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0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473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789</v>
      </c>
      <c r="P89" s="149" t="s">
        <v>782</v>
      </c>
      <c r="Q89" s="149" t="s">
        <v>782</v>
      </c>
      <c r="R89" s="149" t="s">
        <v>790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2" t="s">
        <v>784</v>
      </c>
      <c r="AB89" s="149" t="s">
        <v>173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 x14ac:dyDescent="0.3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0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473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789</v>
      </c>
      <c r="P90" s="149" t="s">
        <v>782</v>
      </c>
      <c r="Q90" s="149" t="s">
        <v>782</v>
      </c>
      <c r="R90" s="149" t="s">
        <v>791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2" t="s">
        <v>784</v>
      </c>
      <c r="AB90" s="149" t="s">
        <v>173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 x14ac:dyDescent="0.3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0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473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792</v>
      </c>
      <c r="P91" s="149" t="s">
        <v>774</v>
      </c>
      <c r="Q91" s="149" t="s">
        <v>774</v>
      </c>
      <c r="R91" s="149" t="s">
        <v>793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07" t="s">
        <v>776</v>
      </c>
      <c r="AB91" s="149" t="s">
        <v>173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 x14ac:dyDescent="0.3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0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473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792</v>
      </c>
      <c r="P92" s="149" t="s">
        <v>774</v>
      </c>
      <c r="Q92" s="149" t="s">
        <v>774</v>
      </c>
      <c r="R92" s="149" t="s">
        <v>794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07" t="s">
        <v>776</v>
      </c>
      <c r="AB92" s="149" t="s">
        <v>173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 x14ac:dyDescent="0.3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0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473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795</v>
      </c>
      <c r="P93" s="149" t="s">
        <v>774</v>
      </c>
      <c r="Q93" s="149" t="s">
        <v>774</v>
      </c>
      <c r="R93" s="149" t="s">
        <v>796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2" t="s">
        <v>784</v>
      </c>
      <c r="AB93" s="149" t="s">
        <v>173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 x14ac:dyDescent="0.3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0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473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797</v>
      </c>
      <c r="P94" s="149" t="s">
        <v>774</v>
      </c>
      <c r="Q94" s="149" t="s">
        <v>774</v>
      </c>
      <c r="R94" s="149" t="s">
        <v>798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07" t="s">
        <v>776</v>
      </c>
      <c r="AB94" s="149" t="s">
        <v>173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 x14ac:dyDescent="0.3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0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473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797</v>
      </c>
      <c r="P95" s="149" t="s">
        <v>774</v>
      </c>
      <c r="Q95" s="149" t="s">
        <v>774</v>
      </c>
      <c r="R95" s="149" t="s">
        <v>799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07" t="s">
        <v>776</v>
      </c>
      <c r="AB95" s="149" t="s">
        <v>173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 x14ac:dyDescent="0.3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0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225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225</v>
      </c>
      <c r="P96" s="149" t="s">
        <v>755</v>
      </c>
      <c r="Q96" s="149" t="s">
        <v>733</v>
      </c>
      <c r="R96" s="149" t="s">
        <v>758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2" t="s">
        <v>757</v>
      </c>
      <c r="AB96" s="149" t="s">
        <v>173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 x14ac:dyDescent="0.3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0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168</v>
      </c>
      <c r="M97" s="180">
        <v>24213.794999999998</v>
      </c>
      <c r="N97" s="181">
        <v>0.99727327018121903</v>
      </c>
      <c r="O97" s="166" t="s">
        <v>168</v>
      </c>
      <c r="P97" s="149" t="s">
        <v>170</v>
      </c>
      <c r="Q97" s="149" t="s">
        <v>717</v>
      </c>
      <c r="R97" s="154" t="s">
        <v>800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179</v>
      </c>
      <c r="AB97" s="149" t="s">
        <v>173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 x14ac:dyDescent="0.3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0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221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221</v>
      </c>
      <c r="P98" s="149" t="s">
        <v>801</v>
      </c>
      <c r="Q98" s="149" t="s">
        <v>802</v>
      </c>
      <c r="R98" s="149" t="s">
        <v>803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2" t="s">
        <v>804</v>
      </c>
      <c r="AB98" s="149" t="s">
        <v>173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 x14ac:dyDescent="0.3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0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225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225</v>
      </c>
      <c r="P99" s="149" t="s">
        <v>801</v>
      </c>
      <c r="Q99" s="149" t="s">
        <v>802</v>
      </c>
      <c r="R99" s="149" t="s">
        <v>805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2" t="s">
        <v>806</v>
      </c>
      <c r="AB99" s="149" t="s">
        <v>173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 x14ac:dyDescent="0.3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0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229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229</v>
      </c>
      <c r="P100" s="149" t="s">
        <v>755</v>
      </c>
      <c r="Q100" s="149" t="s">
        <v>733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2" t="s">
        <v>808</v>
      </c>
      <c r="AB100" s="149" t="s">
        <v>173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 x14ac:dyDescent="0.3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0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473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774</v>
      </c>
      <c r="Q101" s="149" t="s">
        <v>774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07" t="s">
        <v>776</v>
      </c>
      <c r="AB101" s="149" t="s">
        <v>173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 x14ac:dyDescent="0.3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0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473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774</v>
      </c>
      <c r="Q102" s="149" t="s">
        <v>774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07" t="s">
        <v>776</v>
      </c>
      <c r="AB102" s="149" t="s">
        <v>173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 x14ac:dyDescent="0.3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0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473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774</v>
      </c>
      <c r="Q103" s="149" t="s">
        <v>774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07" t="s">
        <v>776</v>
      </c>
      <c r="AB103" s="149" t="s">
        <v>173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 x14ac:dyDescent="0.3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0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472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782</v>
      </c>
      <c r="Q104" s="149" t="s">
        <v>782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2" t="s">
        <v>784</v>
      </c>
      <c r="AB104" s="149" t="s">
        <v>173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 x14ac:dyDescent="0.3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0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472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782</v>
      </c>
      <c r="Q105" s="149" t="s">
        <v>782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07" t="s">
        <v>776</v>
      </c>
      <c r="AB105" s="149" t="s">
        <v>173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 x14ac:dyDescent="0.3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0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472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782</v>
      </c>
      <c r="Q106" s="149" t="s">
        <v>782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2" t="s">
        <v>784</v>
      </c>
      <c r="AB106" s="149" t="s">
        <v>173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 x14ac:dyDescent="0.3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0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472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782</v>
      </c>
      <c r="Q107" s="149" t="s">
        <v>782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2" t="s">
        <v>784</v>
      </c>
      <c r="AB107" s="149" t="s">
        <v>173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 x14ac:dyDescent="0.3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0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214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214</v>
      </c>
      <c r="P108" s="149" t="s">
        <v>755</v>
      </c>
      <c r="Q108" s="149" t="s">
        <v>733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2" t="s">
        <v>757</v>
      </c>
      <c r="AB108" s="149" t="s">
        <v>173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 x14ac:dyDescent="0.3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0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472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774</v>
      </c>
      <c r="Q109" s="149" t="s">
        <v>774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07" t="s">
        <v>776</v>
      </c>
      <c r="AB109" s="149" t="s">
        <v>173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 x14ac:dyDescent="0.3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0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472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774</v>
      </c>
      <c r="Q110" s="149" t="s">
        <v>774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07" t="s">
        <v>776</v>
      </c>
      <c r="AB110" s="149" t="s">
        <v>173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 x14ac:dyDescent="0.3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0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472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774</v>
      </c>
      <c r="Q111" s="149" t="s">
        <v>774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07" t="s">
        <v>776</v>
      </c>
      <c r="AB111" s="149" t="s">
        <v>173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 x14ac:dyDescent="0.3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0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472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774</v>
      </c>
      <c r="Q112" s="149" t="s">
        <v>774</v>
      </c>
      <c r="R112" s="149" t="s">
        <v>824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07" t="s">
        <v>776</v>
      </c>
      <c r="AB112" s="149" t="s">
        <v>173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29" x14ac:dyDescent="0.3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0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463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463</v>
      </c>
      <c r="P113" s="217" t="s">
        <v>771</v>
      </c>
      <c r="Q113" s="217" t="s">
        <v>771</v>
      </c>
      <c r="R113" s="154" t="s">
        <v>825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826</v>
      </c>
      <c r="AB113" s="149" t="s">
        <v>198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29" x14ac:dyDescent="0.3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0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464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464</v>
      </c>
      <c r="P114" s="217" t="s">
        <v>771</v>
      </c>
      <c r="Q114" s="217" t="s">
        <v>771</v>
      </c>
      <c r="R114" s="154" t="s">
        <v>825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826</v>
      </c>
      <c r="AB114" s="149" t="s">
        <v>198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 x14ac:dyDescent="0.3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0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168</v>
      </c>
      <c r="M115" s="180">
        <v>24213.794999999998</v>
      </c>
      <c r="N115" s="181">
        <v>0.99727327018121903</v>
      </c>
      <c r="O115" s="166" t="s">
        <v>168</v>
      </c>
      <c r="P115" s="149" t="s">
        <v>170</v>
      </c>
      <c r="Q115" s="149" t="s">
        <v>717</v>
      </c>
      <c r="R115" s="154" t="s">
        <v>800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827</v>
      </c>
      <c r="AB115" s="149" t="s">
        <v>173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 x14ac:dyDescent="0.3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0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168</v>
      </c>
      <c r="M116" s="180">
        <v>24213.794999999998</v>
      </c>
      <c r="N116" s="181">
        <v>0.99727327018121903</v>
      </c>
      <c r="O116" s="166" t="s">
        <v>168</v>
      </c>
      <c r="P116" s="149" t="s">
        <v>170</v>
      </c>
      <c r="Q116" s="149" t="s">
        <v>717</v>
      </c>
      <c r="R116" s="154" t="s">
        <v>800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827</v>
      </c>
      <c r="AB116" s="149" t="s">
        <v>173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29" x14ac:dyDescent="0.3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0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463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463</v>
      </c>
      <c r="P117" s="217" t="s">
        <v>771</v>
      </c>
      <c r="Q117" s="217" t="s">
        <v>771</v>
      </c>
      <c r="R117" s="154" t="s">
        <v>825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826</v>
      </c>
      <c r="AB117" s="149" t="s">
        <v>173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29" x14ac:dyDescent="0.3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0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464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464</v>
      </c>
      <c r="P118" s="217" t="s">
        <v>771</v>
      </c>
      <c r="Q118" s="217" t="s">
        <v>771</v>
      </c>
      <c r="R118" s="154" t="s">
        <v>825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826</v>
      </c>
      <c r="AB118" s="149" t="s">
        <v>173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 x14ac:dyDescent="0.3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0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225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225</v>
      </c>
      <c r="P119" s="149" t="s">
        <v>755</v>
      </c>
      <c r="Q119" s="149" t="s">
        <v>733</v>
      </c>
      <c r="R119" s="149" t="s">
        <v>758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2" t="s">
        <v>757</v>
      </c>
      <c r="AB119" s="149" t="s">
        <v>173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 x14ac:dyDescent="0.3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0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472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828</v>
      </c>
      <c r="P120" s="149" t="s">
        <v>774</v>
      </c>
      <c r="Q120" s="149" t="s">
        <v>774</v>
      </c>
      <c r="R120" s="149" t="s">
        <v>829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07" t="s">
        <v>776</v>
      </c>
      <c r="AB120" s="149" t="s">
        <v>173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 x14ac:dyDescent="0.3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0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472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828</v>
      </c>
      <c r="P121" s="149" t="s">
        <v>774</v>
      </c>
      <c r="Q121" s="149" t="s">
        <v>774</v>
      </c>
      <c r="R121" s="149" t="s">
        <v>830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07" t="s">
        <v>776</v>
      </c>
      <c r="AB121" s="149" t="s">
        <v>173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 x14ac:dyDescent="0.3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0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472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795</v>
      </c>
      <c r="P122" s="149" t="s">
        <v>774</v>
      </c>
      <c r="Q122" s="149" t="s">
        <v>774</v>
      </c>
      <c r="R122" s="149" t="s">
        <v>831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2" t="s">
        <v>784</v>
      </c>
      <c r="AB122" s="149" t="s">
        <v>173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 x14ac:dyDescent="0.3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0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472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832</v>
      </c>
      <c r="P123" s="149" t="s">
        <v>782</v>
      </c>
      <c r="Q123" s="149" t="s">
        <v>782</v>
      </c>
      <c r="R123" s="149" t="s">
        <v>833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2" t="s">
        <v>784</v>
      </c>
      <c r="AB123" s="149" t="s">
        <v>173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 x14ac:dyDescent="0.3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0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472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832</v>
      </c>
      <c r="P124" s="149" t="s">
        <v>782</v>
      </c>
      <c r="Q124" s="149" t="s">
        <v>782</v>
      </c>
      <c r="R124" s="149" t="s">
        <v>834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2" t="s">
        <v>784</v>
      </c>
      <c r="AB124" s="149" t="s">
        <v>173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 x14ac:dyDescent="0.3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0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472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835</v>
      </c>
      <c r="P125" s="149" t="s">
        <v>782</v>
      </c>
      <c r="Q125" s="149" t="s">
        <v>782</v>
      </c>
      <c r="R125" s="149" t="s">
        <v>836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07" t="s">
        <v>776</v>
      </c>
      <c r="AB125" s="149" t="s">
        <v>173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 x14ac:dyDescent="0.3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0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472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837</v>
      </c>
      <c r="P126" s="149" t="s">
        <v>782</v>
      </c>
      <c r="Q126" s="149" t="s">
        <v>782</v>
      </c>
      <c r="R126" s="149" t="s">
        <v>838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2" t="s">
        <v>784</v>
      </c>
      <c r="AB126" s="149" t="s">
        <v>173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 x14ac:dyDescent="0.3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0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472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837</v>
      </c>
      <c r="P127" s="149" t="s">
        <v>782</v>
      </c>
      <c r="Q127" s="149" t="s">
        <v>782</v>
      </c>
      <c r="R127" s="149" t="s">
        <v>839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2" t="s">
        <v>784</v>
      </c>
      <c r="AB127" s="149" t="s">
        <v>173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 x14ac:dyDescent="0.3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0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473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840</v>
      </c>
      <c r="P128" s="149" t="s">
        <v>782</v>
      </c>
      <c r="Q128" s="149" t="s">
        <v>782</v>
      </c>
      <c r="R128" s="149" t="s">
        <v>841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2" t="s">
        <v>784</v>
      </c>
      <c r="AB128" s="149" t="s">
        <v>173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 x14ac:dyDescent="0.3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0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473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840</v>
      </c>
      <c r="P129" s="149" t="s">
        <v>782</v>
      </c>
      <c r="Q129" s="149" t="s">
        <v>782</v>
      </c>
      <c r="R129" s="149" t="s">
        <v>842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2" t="s">
        <v>784</v>
      </c>
      <c r="AB129" s="149" t="s">
        <v>173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 x14ac:dyDescent="0.3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0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473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843</v>
      </c>
      <c r="P130" s="149" t="s">
        <v>782</v>
      </c>
      <c r="Q130" s="149" t="s">
        <v>782</v>
      </c>
      <c r="R130" s="149" t="s">
        <v>844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2" t="s">
        <v>784</v>
      </c>
      <c r="AB130" s="149" t="s">
        <v>173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 x14ac:dyDescent="0.3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0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473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843</v>
      </c>
      <c r="P131" s="149" t="s">
        <v>782</v>
      </c>
      <c r="Q131" s="149" t="s">
        <v>782</v>
      </c>
      <c r="R131" s="149" t="s">
        <v>845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2" t="s">
        <v>784</v>
      </c>
      <c r="AB131" s="149" t="s">
        <v>173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 x14ac:dyDescent="0.3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0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473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846</v>
      </c>
      <c r="P132" s="149" t="s">
        <v>782</v>
      </c>
      <c r="Q132" s="149" t="s">
        <v>782</v>
      </c>
      <c r="R132" s="149" t="s">
        <v>847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2" t="s">
        <v>784</v>
      </c>
      <c r="AB132" s="149" t="s">
        <v>173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 x14ac:dyDescent="0.3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0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473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848</v>
      </c>
      <c r="P133" s="149" t="s">
        <v>782</v>
      </c>
      <c r="Q133" s="149" t="s">
        <v>782</v>
      </c>
      <c r="R133" s="149" t="s">
        <v>849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2" t="s">
        <v>784</v>
      </c>
      <c r="AB133" s="149" t="s">
        <v>173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 x14ac:dyDescent="0.3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0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221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221</v>
      </c>
      <c r="P134" s="149" t="s">
        <v>801</v>
      </c>
      <c r="Q134" s="149" t="s">
        <v>802</v>
      </c>
      <c r="R134" s="149" t="s">
        <v>803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2" t="s">
        <v>804</v>
      </c>
      <c r="AB134" s="149" t="s">
        <v>173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 x14ac:dyDescent="0.3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0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225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225</v>
      </c>
      <c r="P135" s="149" t="s">
        <v>801</v>
      </c>
      <c r="Q135" s="149" t="s">
        <v>802</v>
      </c>
      <c r="R135" s="149" t="s">
        <v>805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2" t="s">
        <v>806</v>
      </c>
      <c r="AB135" s="149" t="s">
        <v>173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 x14ac:dyDescent="0.3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0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472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850</v>
      </c>
      <c r="P136" s="149" t="s">
        <v>782</v>
      </c>
      <c r="Q136" s="149" t="s">
        <v>782</v>
      </c>
      <c r="R136" s="149" t="s">
        <v>851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2" t="s">
        <v>784</v>
      </c>
      <c r="AB136" s="149" t="s">
        <v>173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 x14ac:dyDescent="0.3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0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472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852</v>
      </c>
      <c r="P137" s="149" t="s">
        <v>782</v>
      </c>
      <c r="Q137" s="149" t="s">
        <v>782</v>
      </c>
      <c r="R137" s="149" t="s">
        <v>853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07" t="s">
        <v>776</v>
      </c>
      <c r="AB137" s="149" t="s">
        <v>173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 x14ac:dyDescent="0.3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0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472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852</v>
      </c>
      <c r="P138" s="149" t="s">
        <v>782</v>
      </c>
      <c r="Q138" s="149" t="s">
        <v>782</v>
      </c>
      <c r="R138" s="149" t="s">
        <v>854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07" t="s">
        <v>776</v>
      </c>
      <c r="AB138" s="149" t="s">
        <v>173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 x14ac:dyDescent="0.3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0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472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855</v>
      </c>
      <c r="P139" s="149" t="s">
        <v>782</v>
      </c>
      <c r="Q139" s="149" t="s">
        <v>782</v>
      </c>
      <c r="R139" s="149" t="s">
        <v>856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2" t="s">
        <v>784</v>
      </c>
      <c r="AB139" s="149" t="s">
        <v>173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 x14ac:dyDescent="0.3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0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536</v>
      </c>
      <c r="M140" s="180">
        <v>24213.794999999998</v>
      </c>
      <c r="N140" s="181">
        <v>0.99727327018121903</v>
      </c>
      <c r="O140" s="166" t="s">
        <v>536</v>
      </c>
      <c r="P140" s="149" t="s">
        <v>857</v>
      </c>
      <c r="Q140" s="149" t="s">
        <v>858</v>
      </c>
      <c r="R140" s="154" t="s">
        <v>859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2" t="s">
        <v>860</v>
      </c>
      <c r="AB140" s="149" t="s">
        <v>173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 x14ac:dyDescent="0.3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0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214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214</v>
      </c>
      <c r="P141" s="217" t="s">
        <v>739</v>
      </c>
      <c r="Q141" s="217" t="s">
        <v>740</v>
      </c>
      <c r="R141" s="149" t="s">
        <v>741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2" t="s">
        <v>742</v>
      </c>
      <c r="AB141" s="149" t="s">
        <v>763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 x14ac:dyDescent="0.3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0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134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134</v>
      </c>
      <c r="P142" s="149" t="s">
        <v>861</v>
      </c>
      <c r="Q142" s="149" t="s">
        <v>861</v>
      </c>
      <c r="R142" s="149" t="s">
        <v>862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2" t="s">
        <v>863</v>
      </c>
      <c r="AB142" s="149" t="s">
        <v>763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 x14ac:dyDescent="0.3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0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472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864</v>
      </c>
      <c r="P143" s="149" t="s">
        <v>782</v>
      </c>
      <c r="Q143" s="149" t="s">
        <v>782</v>
      </c>
      <c r="R143" s="149" t="s">
        <v>865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2" t="s">
        <v>784</v>
      </c>
      <c r="AB143" s="149" t="s">
        <v>763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 x14ac:dyDescent="0.3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0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472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864</v>
      </c>
      <c r="P144" s="149" t="s">
        <v>782</v>
      </c>
      <c r="Q144" s="149" t="s">
        <v>782</v>
      </c>
      <c r="R144" s="149" t="s">
        <v>866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2" t="s">
        <v>784</v>
      </c>
      <c r="AB144" s="149" t="s">
        <v>763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 x14ac:dyDescent="0.3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0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536</v>
      </c>
      <c r="M145" s="180">
        <v>24213.794999999998</v>
      </c>
      <c r="N145" s="181">
        <v>0.99727327018121903</v>
      </c>
      <c r="O145" s="166" t="s">
        <v>536</v>
      </c>
      <c r="P145" s="149" t="s">
        <v>857</v>
      </c>
      <c r="Q145" s="149" t="s">
        <v>858</v>
      </c>
      <c r="R145" s="154" t="s">
        <v>867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2" t="s">
        <v>868</v>
      </c>
      <c r="AB145" s="149" t="s">
        <v>763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 x14ac:dyDescent="0.3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0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472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782</v>
      </c>
      <c r="P146" s="149" t="s">
        <v>782</v>
      </c>
      <c r="Q146" s="149" t="s">
        <v>782</v>
      </c>
      <c r="R146" s="149" t="s">
        <v>865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2" t="s">
        <v>784</v>
      </c>
      <c r="AB146" s="149" t="s">
        <v>763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 x14ac:dyDescent="0.3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0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472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782</v>
      </c>
      <c r="P147" s="149" t="s">
        <v>782</v>
      </c>
      <c r="Q147" s="149" t="s">
        <v>782</v>
      </c>
      <c r="R147" s="149" t="s">
        <v>865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2" t="s">
        <v>784</v>
      </c>
      <c r="AB147" s="149" t="s">
        <v>763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 x14ac:dyDescent="0.3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0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472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782</v>
      </c>
      <c r="P148" s="149" t="s">
        <v>782</v>
      </c>
      <c r="Q148" s="149" t="s">
        <v>782</v>
      </c>
      <c r="R148" s="149" t="s">
        <v>865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2" t="s">
        <v>784</v>
      </c>
      <c r="AB148" s="149" t="s">
        <v>763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 x14ac:dyDescent="0.3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0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472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782</v>
      </c>
      <c r="P149" s="149" t="s">
        <v>782</v>
      </c>
      <c r="Q149" s="149" t="s">
        <v>782</v>
      </c>
      <c r="R149" s="149" t="s">
        <v>865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2" t="s">
        <v>784</v>
      </c>
      <c r="AB149" s="149" t="s">
        <v>763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 x14ac:dyDescent="0.3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0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536</v>
      </c>
      <c r="M150" s="180">
        <v>24213.794999999998</v>
      </c>
      <c r="N150" s="181">
        <v>0.99727327018121903</v>
      </c>
      <c r="O150" s="166" t="s">
        <v>536</v>
      </c>
      <c r="P150" s="149" t="s">
        <v>857</v>
      </c>
      <c r="Q150" s="149" t="s">
        <v>858</v>
      </c>
      <c r="R150" s="154" t="s">
        <v>869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2" t="s">
        <v>870</v>
      </c>
      <c r="AB150" s="149" t="s">
        <v>763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 x14ac:dyDescent="0.3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0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464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464</v>
      </c>
      <c r="P151" s="166" t="s">
        <v>713</v>
      </c>
      <c r="Q151" s="166" t="s">
        <v>713</v>
      </c>
      <c r="R151" s="154" t="s">
        <v>871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2" t="s">
        <v>872</v>
      </c>
      <c r="AB151" s="149" t="s">
        <v>763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 x14ac:dyDescent="0.3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0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229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229</v>
      </c>
      <c r="P152" s="149" t="s">
        <v>755</v>
      </c>
      <c r="Q152" s="149" t="s">
        <v>733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2" t="s">
        <v>863</v>
      </c>
      <c r="AB152" s="149" t="s">
        <v>763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 x14ac:dyDescent="0.3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0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472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873</v>
      </c>
      <c r="P153" s="149" t="s">
        <v>755</v>
      </c>
      <c r="Q153" s="149" t="s">
        <v>733</v>
      </c>
      <c r="R153" s="149" t="s">
        <v>874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07" t="s">
        <v>875</v>
      </c>
      <c r="AB153" s="149" t="s">
        <v>763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 x14ac:dyDescent="0.3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0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472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873</v>
      </c>
      <c r="P154" s="149" t="s">
        <v>755</v>
      </c>
      <c r="Q154" s="149" t="s">
        <v>733</v>
      </c>
      <c r="R154" s="149" t="s">
        <v>876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07" t="s">
        <v>875</v>
      </c>
      <c r="AB154" s="149" t="s">
        <v>763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 x14ac:dyDescent="0.3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0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472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877</v>
      </c>
      <c r="P155" s="149" t="s">
        <v>755</v>
      </c>
      <c r="Q155" s="149" t="s">
        <v>733</v>
      </c>
      <c r="R155" s="149" t="s">
        <v>878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07" t="s">
        <v>875</v>
      </c>
      <c r="AB155" s="149" t="s">
        <v>763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 x14ac:dyDescent="0.3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0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472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877</v>
      </c>
      <c r="P156" s="149" t="s">
        <v>755</v>
      </c>
      <c r="Q156" s="149" t="s">
        <v>733</v>
      </c>
      <c r="R156" s="149" t="s">
        <v>879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07" t="s">
        <v>875</v>
      </c>
      <c r="AB156" s="149" t="s">
        <v>763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 x14ac:dyDescent="0.3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0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472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877</v>
      </c>
      <c r="P157" s="149" t="s">
        <v>755</v>
      </c>
      <c r="Q157" s="149" t="s">
        <v>733</v>
      </c>
      <c r="R157" s="149" t="s">
        <v>880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07" t="s">
        <v>875</v>
      </c>
      <c r="AB157" s="149" t="s">
        <v>763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 x14ac:dyDescent="0.3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0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472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755</v>
      </c>
      <c r="Q158" s="149" t="s">
        <v>733</v>
      </c>
      <c r="R158" s="149" t="s">
        <v>881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07" t="s">
        <v>875</v>
      </c>
      <c r="AB158" s="149" t="s">
        <v>763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 x14ac:dyDescent="0.3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0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229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229</v>
      </c>
      <c r="P159" s="149" t="s">
        <v>755</v>
      </c>
      <c r="Q159" s="149" t="s">
        <v>733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2" t="s">
        <v>863</v>
      </c>
      <c r="AB159" s="149" t="s">
        <v>763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 x14ac:dyDescent="0.3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0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214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214</v>
      </c>
      <c r="P160" s="217" t="s">
        <v>739</v>
      </c>
      <c r="Q160" s="217" t="s">
        <v>740</v>
      </c>
      <c r="R160" s="149" t="s">
        <v>741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2" t="s">
        <v>742</v>
      </c>
      <c r="AB160" s="149" t="s">
        <v>763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 x14ac:dyDescent="0.3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0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194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194</v>
      </c>
      <c r="P161" s="149" t="s">
        <v>755</v>
      </c>
      <c r="Q161" s="149" t="s">
        <v>733</v>
      </c>
      <c r="R161" s="149" t="s">
        <v>756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2" t="s">
        <v>863</v>
      </c>
      <c r="AB161" s="149" t="s">
        <v>763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 x14ac:dyDescent="0.3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0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200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200</v>
      </c>
      <c r="P162" s="149" t="s">
        <v>755</v>
      </c>
      <c r="Q162" s="149" t="s">
        <v>733</v>
      </c>
      <c r="R162" s="149" t="s">
        <v>882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2" t="s">
        <v>863</v>
      </c>
      <c r="AB162" s="149" t="s">
        <v>763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 x14ac:dyDescent="0.3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0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229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229</v>
      </c>
      <c r="P163" s="149" t="s">
        <v>755</v>
      </c>
      <c r="Q163" s="149" t="s">
        <v>733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2" t="s">
        <v>863</v>
      </c>
      <c r="AB163" s="149" t="s">
        <v>763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 x14ac:dyDescent="0.3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0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472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883</v>
      </c>
      <c r="P164" s="149" t="s">
        <v>755</v>
      </c>
      <c r="Q164" s="149" t="s">
        <v>733</v>
      </c>
      <c r="R164" s="149" t="s">
        <v>884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07" t="s">
        <v>875</v>
      </c>
      <c r="AB164" s="149" t="s">
        <v>763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 x14ac:dyDescent="0.3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0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472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883</v>
      </c>
      <c r="P165" s="149" t="s">
        <v>755</v>
      </c>
      <c r="Q165" s="149" t="s">
        <v>733</v>
      </c>
      <c r="R165" s="149" t="s">
        <v>885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07" t="s">
        <v>875</v>
      </c>
      <c r="AB165" s="149" t="s">
        <v>763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 x14ac:dyDescent="0.3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0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472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886</v>
      </c>
      <c r="P166" s="149" t="s">
        <v>755</v>
      </c>
      <c r="Q166" s="149" t="s">
        <v>733</v>
      </c>
      <c r="R166" s="149" t="s">
        <v>887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07" t="s">
        <v>875</v>
      </c>
      <c r="AB166" s="149" t="s">
        <v>763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 x14ac:dyDescent="0.3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0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472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886</v>
      </c>
      <c r="P167" s="149" t="s">
        <v>755</v>
      </c>
      <c r="Q167" s="149" t="s">
        <v>733</v>
      </c>
      <c r="R167" s="149" t="s">
        <v>888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2" t="s">
        <v>784</v>
      </c>
      <c r="AB167" s="149" t="s">
        <v>763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 x14ac:dyDescent="0.3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0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472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889</v>
      </c>
      <c r="P168" s="149" t="s">
        <v>755</v>
      </c>
      <c r="Q168" s="149" t="s">
        <v>733</v>
      </c>
      <c r="R168" s="149" t="s">
        <v>890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07" t="s">
        <v>875</v>
      </c>
      <c r="AB168" s="149" t="s">
        <v>763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 x14ac:dyDescent="0.3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0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472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891</v>
      </c>
      <c r="P169" s="149" t="s">
        <v>755</v>
      </c>
      <c r="Q169" s="149" t="s">
        <v>733</v>
      </c>
      <c r="R169" s="149" t="s">
        <v>892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07" t="s">
        <v>875</v>
      </c>
      <c r="AB169" s="149" t="s">
        <v>763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 x14ac:dyDescent="0.3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0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472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891</v>
      </c>
      <c r="P170" s="149" t="s">
        <v>755</v>
      </c>
      <c r="Q170" s="149" t="s">
        <v>733</v>
      </c>
      <c r="R170" s="149" t="s">
        <v>893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2" t="s">
        <v>784</v>
      </c>
      <c r="AB170" s="149" t="s">
        <v>763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 x14ac:dyDescent="0.3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0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472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891</v>
      </c>
      <c r="P171" s="149" t="s">
        <v>755</v>
      </c>
      <c r="Q171" s="149" t="s">
        <v>733</v>
      </c>
      <c r="R171" s="149" t="s">
        <v>894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07" t="s">
        <v>875</v>
      </c>
      <c r="AB171" s="149" t="s">
        <v>763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 x14ac:dyDescent="0.3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0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472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773</v>
      </c>
      <c r="P172" s="149" t="s">
        <v>755</v>
      </c>
      <c r="Q172" s="149" t="s">
        <v>733</v>
      </c>
      <c r="R172" s="149" t="s">
        <v>895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07" t="s">
        <v>875</v>
      </c>
      <c r="AB172" s="149" t="s">
        <v>763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 x14ac:dyDescent="0.3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0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472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773</v>
      </c>
      <c r="P173" s="149" t="s">
        <v>755</v>
      </c>
      <c r="Q173" s="149" t="s">
        <v>733</v>
      </c>
      <c r="R173" s="149" t="s">
        <v>896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2" t="s">
        <v>784</v>
      </c>
      <c r="AB173" s="149" t="s">
        <v>763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 x14ac:dyDescent="0.3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0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476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897</v>
      </c>
      <c r="P174" s="149" t="s">
        <v>782</v>
      </c>
      <c r="Q174" s="149" t="s">
        <v>782</v>
      </c>
      <c r="R174" s="154" t="s">
        <v>898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2" t="s">
        <v>899</v>
      </c>
      <c r="AB174" s="149" t="s">
        <v>763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 x14ac:dyDescent="0.3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0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476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900</v>
      </c>
      <c r="P175" s="149" t="s">
        <v>782</v>
      </c>
      <c r="Q175" s="149" t="s">
        <v>782</v>
      </c>
      <c r="R175" s="154" t="s">
        <v>901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2" t="s">
        <v>899</v>
      </c>
      <c r="AB175" s="149" t="s">
        <v>763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 x14ac:dyDescent="0.3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0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200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200</v>
      </c>
      <c r="P176" s="149" t="s">
        <v>755</v>
      </c>
      <c r="Q176" s="149" t="s">
        <v>733</v>
      </c>
      <c r="R176" s="149" t="s">
        <v>882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2" t="s">
        <v>863</v>
      </c>
      <c r="AB176" s="149" t="s">
        <v>763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 x14ac:dyDescent="0.3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0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472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902</v>
      </c>
      <c r="P177" s="149" t="s">
        <v>755</v>
      </c>
      <c r="Q177" s="149" t="s">
        <v>733</v>
      </c>
      <c r="R177" s="149" t="s">
        <v>903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2" t="s">
        <v>899</v>
      </c>
      <c r="AB177" s="149" t="s">
        <v>763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 x14ac:dyDescent="0.3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0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237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237</v>
      </c>
      <c r="P178" s="149" t="s">
        <v>755</v>
      </c>
      <c r="Q178" s="149" t="s">
        <v>733</v>
      </c>
      <c r="R178" s="149" t="s">
        <v>904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2" t="s">
        <v>863</v>
      </c>
      <c r="AB178" s="149" t="s">
        <v>763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 x14ac:dyDescent="0.3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0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472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905</v>
      </c>
      <c r="P179" s="149" t="s">
        <v>755</v>
      </c>
      <c r="Q179" s="149" t="s">
        <v>733</v>
      </c>
      <c r="R179" s="149" t="s">
        <v>906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07" t="s">
        <v>875</v>
      </c>
      <c r="AB179" s="149" t="s">
        <v>763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 x14ac:dyDescent="0.3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0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472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905</v>
      </c>
      <c r="P180" s="149" t="s">
        <v>755</v>
      </c>
      <c r="Q180" s="149" t="s">
        <v>733</v>
      </c>
      <c r="R180" s="149" t="s">
        <v>907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07" t="s">
        <v>875</v>
      </c>
      <c r="AB180" s="149" t="s">
        <v>763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 x14ac:dyDescent="0.3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0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472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908</v>
      </c>
      <c r="P181" s="149" t="s">
        <v>755</v>
      </c>
      <c r="Q181" s="149" t="s">
        <v>733</v>
      </c>
      <c r="R181" s="149" t="s">
        <v>909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07" t="s">
        <v>875</v>
      </c>
      <c r="AB181" s="149" t="s">
        <v>763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 x14ac:dyDescent="0.3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0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472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908</v>
      </c>
      <c r="P182" s="149" t="s">
        <v>755</v>
      </c>
      <c r="Q182" s="149" t="s">
        <v>733</v>
      </c>
      <c r="R182" s="149" t="s">
        <v>910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07" t="s">
        <v>875</v>
      </c>
      <c r="AB182" s="149" t="s">
        <v>763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 x14ac:dyDescent="0.3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0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472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908</v>
      </c>
      <c r="P183" s="149" t="s">
        <v>755</v>
      </c>
      <c r="Q183" s="149" t="s">
        <v>733</v>
      </c>
      <c r="R183" s="149" t="s">
        <v>911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07" t="s">
        <v>875</v>
      </c>
      <c r="AB183" s="149" t="s">
        <v>763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 x14ac:dyDescent="0.35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0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200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200</v>
      </c>
      <c r="P184" s="149" t="s">
        <v>755</v>
      </c>
      <c r="Q184" s="149" t="s">
        <v>733</v>
      </c>
      <c r="R184" s="149" t="s">
        <v>882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2" t="s">
        <v>863</v>
      </c>
      <c r="AB184" s="149" t="s">
        <v>763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 x14ac:dyDescent="0.35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0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214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214</v>
      </c>
      <c r="P185" s="217" t="s">
        <v>739</v>
      </c>
      <c r="Q185" s="217" t="s">
        <v>740</v>
      </c>
      <c r="R185" s="149" t="s">
        <v>741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2" t="s">
        <v>742</v>
      </c>
      <c r="AB185" s="149" t="s">
        <v>763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 x14ac:dyDescent="0.35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0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168</v>
      </c>
      <c r="M186" s="180">
        <v>24213.794999999998</v>
      </c>
      <c r="N186" s="181">
        <v>0.99727327018121903</v>
      </c>
      <c r="O186" s="166" t="s">
        <v>168</v>
      </c>
      <c r="P186" s="149" t="s">
        <v>170</v>
      </c>
      <c r="Q186" s="149" t="s">
        <v>717</v>
      </c>
      <c r="R186" s="154" t="s">
        <v>912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2" t="s">
        <v>913</v>
      </c>
      <c r="AB186" s="149" t="s">
        <v>763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 x14ac:dyDescent="0.35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0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464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464</v>
      </c>
      <c r="P187" s="149" t="s">
        <v>857</v>
      </c>
      <c r="Q187" s="166" t="s">
        <v>713</v>
      </c>
      <c r="R187" s="166" t="s">
        <v>914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2" t="s">
        <v>731</v>
      </c>
      <c r="AB187" s="149" t="s">
        <v>915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 x14ac:dyDescent="0.35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0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464</v>
      </c>
      <c r="M188" s="180">
        <v>2300</v>
      </c>
      <c r="N188" s="181">
        <v>9.4728171334431635E-2</v>
      </c>
      <c r="O188" s="166" t="s">
        <v>464</v>
      </c>
      <c r="P188" s="149" t="s">
        <v>857</v>
      </c>
      <c r="Q188" s="149" t="s">
        <v>713</v>
      </c>
      <c r="R188" s="166" t="s">
        <v>914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2" t="s">
        <v>762</v>
      </c>
      <c r="AB188" s="149" t="s">
        <v>763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 x14ac:dyDescent="0.35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0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200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200</v>
      </c>
      <c r="P189" s="149" t="s">
        <v>755</v>
      </c>
      <c r="Q189" s="149" t="s">
        <v>733</v>
      </c>
      <c r="R189" s="149" t="s">
        <v>882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2" t="s">
        <v>863</v>
      </c>
      <c r="AB189" s="149" t="s">
        <v>763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 x14ac:dyDescent="0.35">
      <c r="A190" s="147">
        <f t="shared" si="3"/>
        <v>187</v>
      </c>
      <c r="B190" s="183">
        <v>45866</v>
      </c>
      <c r="C190" s="180">
        <f>YEAR(PA[[#This Row],[Date]])+IF(MONTH(PA[[#This Row],[Date]])&gt;=4,1,0)</f>
        <v>2026</v>
      </c>
      <c r="D190" s="155">
        <f>YEAR(PA[[#This Row],[Date]])</f>
        <v>2025</v>
      </c>
      <c r="E190" s="149" t="s">
        <v>4</v>
      </c>
      <c r="F190" s="149" t="s">
        <v>4</v>
      </c>
      <c r="G190" s="310">
        <f>PA[[#This Row],[Date]]-DAY(PA[[#This Row],[Date]])+1</f>
        <v>45839</v>
      </c>
      <c r="H190" s="155">
        <f>DAY(EOMONTH(PA[[#This Row],[Month Year]],0))</f>
        <v>31</v>
      </c>
      <c r="I190" s="151">
        <f>_xlfn.XLOOKUP(PA[[#This Row],[Date]],RD[Date],RD[Sunrise Time (POA&gt;20 W/m2)],0)</f>
        <v>0.2638888888888889</v>
      </c>
      <c r="J190" s="151">
        <f>_xlfn.XLOOKUP(PA[[#This Row],[Date]],RD[Date],RD[Sunset Time (POA&lt;20 W/m2)],0)</f>
        <v>0.7680555555555556</v>
      </c>
      <c r="K190" s="152">
        <f>IFERROR((PA[[#This Row],[Sunset Time (POA&lt;20 W/m2)]]-PA[[#This Row],[Sunrise Time (POA&gt;20 W/m2)]])*24,"")</f>
        <v>12.1</v>
      </c>
      <c r="L190" s="166" t="s">
        <v>168</v>
      </c>
      <c r="M190" s="180">
        <v>24213.794999999998</v>
      </c>
      <c r="N190" s="181">
        <v>0.99727327018121903</v>
      </c>
      <c r="O190" s="166" t="s">
        <v>168</v>
      </c>
      <c r="P190" s="149" t="s">
        <v>170</v>
      </c>
      <c r="Q190" s="149" t="s">
        <v>717</v>
      </c>
      <c r="R190" s="154" t="s">
        <v>912</v>
      </c>
      <c r="S190" s="187">
        <v>0.60763888888888884</v>
      </c>
      <c r="T190" s="187">
        <v>0.60763888888888884</v>
      </c>
      <c r="U190" s="187">
        <v>0.60763888888888884</v>
      </c>
      <c r="V190" s="187">
        <v>0.625</v>
      </c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0.41666666666666785</v>
      </c>
      <c r="Z190" s="153">
        <f>IFERROR((PA[[#This Row],[Work Completiuon time on fualt]]-PA[[#This Row],[Fault Time]])*24,"")</f>
        <v>0.41666666666666785</v>
      </c>
      <c r="AA190" s="312" t="s">
        <v>913</v>
      </c>
      <c r="AB190" s="149" t="s">
        <v>763</v>
      </c>
      <c r="AC190" s="152">
        <f>IFERROR(PA[[#This Row],[Breakdown Time]]*PA[[#This Row],[Plant Equivalent Weightage]],)</f>
        <v>0.41553052924217576</v>
      </c>
      <c r="AD190" s="153">
        <v>0.23499999999999999</v>
      </c>
      <c r="AE190" s="163">
        <f>IFERROR(_xlfn.XLOOKUP(PA[[#This Row],[Month Year]],'Modelling New'!$D:$D,'Modelling New'!$O:$O)*M190*PA[[#This Row],[Lost PoA(kWh/m2)]],"")</f>
        <v>4116.7217458267733</v>
      </c>
      <c r="AF190" s="150"/>
      <c r="AG190" s="150"/>
      <c r="AH190" s="150"/>
    </row>
    <row r="191" spans="1:34" x14ac:dyDescent="0.35">
      <c r="A191" s="147">
        <f t="shared" si="3"/>
        <v>188</v>
      </c>
      <c r="B191" s="183">
        <v>45868</v>
      </c>
      <c r="C191" s="180">
        <f>YEAR(PA[[#This Row],[Date]])+IF(MONTH(PA[[#This Row],[Date]])&gt;=4,1,0)</f>
        <v>2026</v>
      </c>
      <c r="D191" s="155">
        <f>YEAR(PA[[#This Row],[Date]])</f>
        <v>2025</v>
      </c>
      <c r="E191" s="149" t="s">
        <v>4</v>
      </c>
      <c r="F191" s="149" t="s">
        <v>4</v>
      </c>
      <c r="G191" s="310">
        <f>PA[[#This Row],[Date]]-DAY(PA[[#This Row],[Date]])+1</f>
        <v>45839</v>
      </c>
      <c r="H191" s="155">
        <f>DAY(EOMONTH(PA[[#This Row],[Month Year]],0))</f>
        <v>31</v>
      </c>
      <c r="I191" s="151">
        <f>_xlfn.XLOOKUP(PA[[#This Row],[Date]],RD[Date],RD[Sunrise Time (POA&gt;20 W/m2)],0)</f>
        <v>0.28055555555555556</v>
      </c>
      <c r="J191" s="151">
        <f>_xlfn.XLOOKUP(PA[[#This Row],[Date]],RD[Date],RD[Sunset Time (POA&lt;20 W/m2)],0)</f>
        <v>0.7729166666666667</v>
      </c>
      <c r="K191" s="152">
        <f>IFERROR((PA[[#This Row],[Sunset Time (POA&lt;20 W/m2)]]-PA[[#This Row],[Sunrise Time (POA&gt;20 W/m2)]])*24,"")</f>
        <v>11.816666666666666</v>
      </c>
      <c r="L191" s="166" t="s">
        <v>168</v>
      </c>
      <c r="M191" s="180">
        <v>24213.794999999998</v>
      </c>
      <c r="N191" s="181">
        <v>0.99727327018121903</v>
      </c>
      <c r="O191" s="166" t="s">
        <v>168</v>
      </c>
      <c r="P191" s="149" t="s">
        <v>170</v>
      </c>
      <c r="Q191" s="149" t="s">
        <v>717</v>
      </c>
      <c r="R191" s="154" t="s">
        <v>912</v>
      </c>
      <c r="S191" s="187">
        <v>0.65972222222222221</v>
      </c>
      <c r="T191" s="187">
        <v>0.65972222222222221</v>
      </c>
      <c r="U191" s="187">
        <v>0.65972222222222221</v>
      </c>
      <c r="V191" s="187">
        <v>0.67222222222222228</v>
      </c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0.3000000000000016</v>
      </c>
      <c r="Z191" s="153">
        <f>IFERROR((PA[[#This Row],[Work Completiuon time on fualt]]-PA[[#This Row],[Fault Time]])*24,"")</f>
        <v>0.3000000000000016</v>
      </c>
      <c r="AA191" s="312" t="s">
        <v>913</v>
      </c>
      <c r="AB191" s="149" t="s">
        <v>763</v>
      </c>
      <c r="AC191" s="152">
        <f>IFERROR(PA[[#This Row],[Breakdown Time]]*PA[[#This Row],[Plant Equivalent Weightage]],)</f>
        <v>0.29918198105436733</v>
      </c>
      <c r="AD191" s="153">
        <v>4.2999999999999997E-2</v>
      </c>
      <c r="AE191" s="163">
        <f>IFERROR(_xlfn.XLOOKUP(PA[[#This Row],[Month Year]],'Modelling New'!$D:$D,'Modelling New'!$O:$O)*M191*PA[[#This Row],[Lost PoA(kWh/m2)]],"")</f>
        <v>753.27248966192019</v>
      </c>
      <c r="AF191" s="150"/>
      <c r="AG191" s="150"/>
      <c r="AH191" s="150"/>
    </row>
    <row r="192" spans="1:34" x14ac:dyDescent="0.35">
      <c r="A192" s="147">
        <f t="shared" si="3"/>
        <v>189</v>
      </c>
      <c r="B192" s="183">
        <v>45868</v>
      </c>
      <c r="C192" s="180">
        <f>YEAR(PA[[#This Row],[Date]])+IF(MONTH(PA[[#This Row],[Date]])&gt;=4,1,0)</f>
        <v>2026</v>
      </c>
      <c r="D192" s="155">
        <f>YEAR(PA[[#This Row],[Date]])</f>
        <v>2025</v>
      </c>
      <c r="E192" s="149" t="s">
        <v>4</v>
      </c>
      <c r="F192" s="149" t="s">
        <v>4</v>
      </c>
      <c r="G192" s="310">
        <f>PA[[#This Row],[Date]]-DAY(PA[[#This Row],[Date]])+1</f>
        <v>45839</v>
      </c>
      <c r="H192" s="155">
        <f>DAY(EOMONTH(PA[[#This Row],[Month Year]],0))</f>
        <v>31</v>
      </c>
      <c r="I192" s="151">
        <f>_xlfn.XLOOKUP(PA[[#This Row],[Date]],RD[Date],RD[Sunrise Time (POA&gt;20 W/m2)],0)</f>
        <v>0.28055555555555556</v>
      </c>
      <c r="J192" s="151">
        <f>_xlfn.XLOOKUP(PA[[#This Row],[Date]],RD[Date],RD[Sunset Time (POA&lt;20 W/m2)],0)</f>
        <v>0.7729166666666667</v>
      </c>
      <c r="K192" s="152">
        <f>IFERROR((PA[[#This Row],[Sunset Time (POA&lt;20 W/m2)]]-PA[[#This Row],[Sunrise Time (POA&gt;20 W/m2)]])*24,"")</f>
        <v>11.816666666666666</v>
      </c>
      <c r="L192" s="166" t="s">
        <v>473</v>
      </c>
      <c r="M192" s="180">
        <f>IFERROR(VLOOKUP(PA[[#This Row],[Affceted Equipment]],'Basic Data'!$A$2:$B$125,2,0),"")</f>
        <v>6.5</v>
      </c>
      <c r="N192" s="181">
        <f>IFERROR(VLOOKUP(PA[[#This Row],[Affceted Equipment]],'Basic Data'!$A$1:$C$128,3,0),"")</f>
        <v>2.6771004942339376E-4</v>
      </c>
      <c r="O192" s="166" t="s">
        <v>886</v>
      </c>
      <c r="P192" s="149" t="s">
        <v>755</v>
      </c>
      <c r="Q192" s="149" t="s">
        <v>755</v>
      </c>
      <c r="R192" s="149" t="s">
        <v>916</v>
      </c>
      <c r="S192" s="187">
        <v>0.45833333333333331</v>
      </c>
      <c r="T192" s="187">
        <v>0.45833333333333331</v>
      </c>
      <c r="U192" s="187">
        <v>0.45833333333333331</v>
      </c>
      <c r="V192" s="187">
        <v>0.66666666666666663</v>
      </c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5</v>
      </c>
      <c r="Z192" s="153">
        <f>IFERROR((PA[[#This Row],[Work Completiuon time on fualt]]-PA[[#This Row],[Fault Time]])*24,"")</f>
        <v>5</v>
      </c>
      <c r="AA192" s="307" t="s">
        <v>875</v>
      </c>
      <c r="AB192" s="149" t="s">
        <v>763</v>
      </c>
      <c r="AC192" s="152">
        <f>IFERROR(PA[[#This Row],[Breakdown Time]]*PA[[#This Row],[Plant Equivalent Weightage]],)</f>
        <v>1.3385502471169688E-3</v>
      </c>
      <c r="AD192" s="153">
        <v>1.98</v>
      </c>
      <c r="AE192" s="163">
        <f>IFERROR(_xlfn.XLOOKUP(PA[[#This Row],[Month Year]],'Modelling New'!$D:$D,'Modelling New'!$O:$O)*M192*PA[[#This Row],[Lost PoA(kWh/m2)]],"")</f>
        <v>9.3110645378925661</v>
      </c>
      <c r="AF192" s="150"/>
      <c r="AG192" s="150"/>
      <c r="AH192" s="150"/>
    </row>
    <row r="193" spans="1:34" x14ac:dyDescent="0.35">
      <c r="A193" s="147">
        <f t="shared" si="3"/>
        <v>190</v>
      </c>
      <c r="B193" s="183">
        <v>45868</v>
      </c>
      <c r="C193" s="180">
        <f>YEAR(PA[[#This Row],[Date]])+IF(MONTH(PA[[#This Row],[Date]])&gt;=4,1,0)</f>
        <v>2026</v>
      </c>
      <c r="D193" s="155">
        <f>YEAR(PA[[#This Row],[Date]])</f>
        <v>2025</v>
      </c>
      <c r="E193" s="149" t="s">
        <v>4</v>
      </c>
      <c r="F193" s="149" t="s">
        <v>4</v>
      </c>
      <c r="G193" s="310">
        <f>PA[[#This Row],[Date]]-DAY(PA[[#This Row],[Date]])+1</f>
        <v>45839</v>
      </c>
      <c r="H193" s="155">
        <f>DAY(EOMONTH(PA[[#This Row],[Month Year]],0))</f>
        <v>31</v>
      </c>
      <c r="I193" s="151">
        <f>_xlfn.XLOOKUP(PA[[#This Row],[Date]],RD[Date],RD[Sunrise Time (POA&gt;20 W/m2)],0)</f>
        <v>0.28055555555555556</v>
      </c>
      <c r="J193" s="151">
        <f>_xlfn.XLOOKUP(PA[[#This Row],[Date]],RD[Date],RD[Sunset Time (POA&lt;20 W/m2)],0)</f>
        <v>0.7729166666666667</v>
      </c>
      <c r="K193" s="152">
        <f>IFERROR((PA[[#This Row],[Sunset Time (POA&lt;20 W/m2)]]-PA[[#This Row],[Sunrise Time (POA&gt;20 W/m2)]])*24,"")</f>
        <v>11.816666666666666</v>
      </c>
      <c r="L193" s="166" t="s">
        <v>473</v>
      </c>
      <c r="M193" s="180">
        <f>IFERROR(VLOOKUP(PA[[#This Row],[Affceted Equipment]],'Basic Data'!$A$2:$B$125,2,0),"")</f>
        <v>6.5</v>
      </c>
      <c r="N193" s="181">
        <f>IFERROR(VLOOKUP(PA[[#This Row],[Affceted Equipment]],'Basic Data'!$A$1:$C$128,3,0),"")</f>
        <v>2.6771004942339376E-4</v>
      </c>
      <c r="O193" s="166" t="s">
        <v>886</v>
      </c>
      <c r="P193" s="149" t="s">
        <v>755</v>
      </c>
      <c r="Q193" s="149" t="s">
        <v>755</v>
      </c>
      <c r="R193" s="149" t="s">
        <v>917</v>
      </c>
      <c r="S193" s="187">
        <v>0.45833333333333331</v>
      </c>
      <c r="T193" s="187">
        <v>0.45833333333333331</v>
      </c>
      <c r="U193" s="187">
        <v>0.45833333333333331</v>
      </c>
      <c r="V193" s="187">
        <v>0.66666666666666663</v>
      </c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5</v>
      </c>
      <c r="Z193" s="153">
        <f>IFERROR((PA[[#This Row],[Work Completiuon time on fualt]]-PA[[#This Row],[Fault Time]])*24,"")</f>
        <v>5</v>
      </c>
      <c r="AA193" s="307" t="s">
        <v>875</v>
      </c>
      <c r="AB193" s="149" t="s">
        <v>763</v>
      </c>
      <c r="AC193" s="152">
        <f>IFERROR(PA[[#This Row],[Breakdown Time]]*PA[[#This Row],[Plant Equivalent Weightage]],)</f>
        <v>1.3385502471169688E-3</v>
      </c>
      <c r="AD193" s="153">
        <v>1.98</v>
      </c>
      <c r="AE193" s="163">
        <f>IFERROR(_xlfn.XLOOKUP(PA[[#This Row],[Month Year]],'Modelling New'!$D:$D,'Modelling New'!$O:$O)*M193*PA[[#This Row],[Lost PoA(kWh/m2)]],"")</f>
        <v>9.3110645378925661</v>
      </c>
      <c r="AF193" s="150"/>
      <c r="AG193" s="150"/>
      <c r="AH193" s="150"/>
    </row>
    <row r="194" spans="1:34" x14ac:dyDescent="0.35">
      <c r="A194" s="147">
        <f t="shared" si="3"/>
        <v>191</v>
      </c>
      <c r="B194" s="183">
        <v>45868</v>
      </c>
      <c r="C194" s="180">
        <f>YEAR(PA[[#This Row],[Date]])+IF(MONTH(PA[[#This Row],[Date]])&gt;=4,1,0)</f>
        <v>2026</v>
      </c>
      <c r="D194" s="155">
        <f>YEAR(PA[[#This Row],[Date]])</f>
        <v>2025</v>
      </c>
      <c r="E194" s="149" t="s">
        <v>4</v>
      </c>
      <c r="F194" s="149" t="s">
        <v>4</v>
      </c>
      <c r="G194" s="310">
        <f>PA[[#This Row],[Date]]-DAY(PA[[#This Row],[Date]])+1</f>
        <v>45839</v>
      </c>
      <c r="H194" s="155">
        <f>DAY(EOMONTH(PA[[#This Row],[Month Year]],0))</f>
        <v>31</v>
      </c>
      <c r="I194" s="151">
        <f>_xlfn.XLOOKUP(PA[[#This Row],[Date]],RD[Date],RD[Sunrise Time (POA&gt;20 W/m2)],0)</f>
        <v>0.28055555555555556</v>
      </c>
      <c r="J194" s="151">
        <f>_xlfn.XLOOKUP(PA[[#This Row],[Date]],RD[Date],RD[Sunset Time (POA&lt;20 W/m2)],0)</f>
        <v>0.7729166666666667</v>
      </c>
      <c r="K194" s="152">
        <f>IFERROR((PA[[#This Row],[Sunset Time (POA&lt;20 W/m2)]]-PA[[#This Row],[Sunrise Time (POA&gt;20 W/m2)]])*24,"")</f>
        <v>11.816666666666666</v>
      </c>
      <c r="L194" s="166" t="s">
        <v>473</v>
      </c>
      <c r="M194" s="180">
        <f>IFERROR(VLOOKUP(PA[[#This Row],[Affceted Equipment]],'Basic Data'!$A$2:$B$125,2,0),"")</f>
        <v>6.5</v>
      </c>
      <c r="N194" s="181">
        <f>IFERROR(VLOOKUP(PA[[#This Row],[Affceted Equipment]],'Basic Data'!$A$1:$C$128,3,0),"")</f>
        <v>2.6771004942339376E-4</v>
      </c>
      <c r="O194" s="166" t="s">
        <v>918</v>
      </c>
      <c r="P194" s="149" t="s">
        <v>755</v>
      </c>
      <c r="Q194" s="149" t="s">
        <v>755</v>
      </c>
      <c r="R194" s="149" t="s">
        <v>919</v>
      </c>
      <c r="S194" s="187">
        <v>0.45833333333333331</v>
      </c>
      <c r="T194" s="187">
        <v>0.45833333333333331</v>
      </c>
      <c r="U194" s="187">
        <v>0.45833333333333331</v>
      </c>
      <c r="V194" s="187">
        <v>0.66666666666666663</v>
      </c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5</v>
      </c>
      <c r="Z194" s="153">
        <f>IFERROR((PA[[#This Row],[Work Completiuon time on fualt]]-PA[[#This Row],[Fault Time]])*24,"")</f>
        <v>5</v>
      </c>
      <c r="AA194" s="307" t="s">
        <v>875</v>
      </c>
      <c r="AB194" s="149" t="s">
        <v>763</v>
      </c>
      <c r="AC194" s="152">
        <f>IFERROR(PA[[#This Row],[Breakdown Time]]*PA[[#This Row],[Plant Equivalent Weightage]],)</f>
        <v>1.3385502471169688E-3</v>
      </c>
      <c r="AD194" s="153">
        <v>1.98</v>
      </c>
      <c r="AE194" s="163">
        <f>IFERROR(_xlfn.XLOOKUP(PA[[#This Row],[Month Year]],'Modelling New'!$D:$D,'Modelling New'!$O:$O)*M194*PA[[#This Row],[Lost PoA(kWh/m2)]],"")</f>
        <v>9.3110645378925661</v>
      </c>
      <c r="AF194" s="150"/>
      <c r="AG194" s="150"/>
      <c r="AH194" s="150"/>
    </row>
    <row r="195" spans="1:34" x14ac:dyDescent="0.35">
      <c r="A195" s="147">
        <f t="shared" si="3"/>
        <v>192</v>
      </c>
      <c r="B195" s="183">
        <v>45868</v>
      </c>
      <c r="C195" s="180">
        <f>YEAR(PA[[#This Row],[Date]])+IF(MONTH(PA[[#This Row],[Date]])&gt;=4,1,0)</f>
        <v>2026</v>
      </c>
      <c r="D195" s="155">
        <f>YEAR(PA[[#This Row],[Date]])</f>
        <v>2025</v>
      </c>
      <c r="E195" s="149" t="s">
        <v>4</v>
      </c>
      <c r="F195" s="149" t="s">
        <v>4</v>
      </c>
      <c r="G195" s="310">
        <f>PA[[#This Row],[Date]]-DAY(PA[[#This Row],[Date]])+1</f>
        <v>45839</v>
      </c>
      <c r="H195" s="155">
        <f>DAY(EOMONTH(PA[[#This Row],[Month Year]],0))</f>
        <v>31</v>
      </c>
      <c r="I195" s="151">
        <f>_xlfn.XLOOKUP(PA[[#This Row],[Date]],RD[Date],RD[Sunrise Time (POA&gt;20 W/m2)],0)</f>
        <v>0.28055555555555556</v>
      </c>
      <c r="J195" s="151">
        <f>_xlfn.XLOOKUP(PA[[#This Row],[Date]],RD[Date],RD[Sunset Time (POA&lt;20 W/m2)],0)</f>
        <v>0.7729166666666667</v>
      </c>
      <c r="K195" s="152">
        <f>IFERROR((PA[[#This Row],[Sunset Time (POA&lt;20 W/m2)]]-PA[[#This Row],[Sunrise Time (POA&gt;20 W/m2)]])*24,"")</f>
        <v>11.816666666666666</v>
      </c>
      <c r="L195" s="166" t="s">
        <v>473</v>
      </c>
      <c r="M195" s="180">
        <f>IFERROR(VLOOKUP(PA[[#This Row],[Affceted Equipment]],'Basic Data'!$A$2:$B$125,2,0),"")</f>
        <v>6.5</v>
      </c>
      <c r="N195" s="181">
        <f>IFERROR(VLOOKUP(PA[[#This Row],[Affceted Equipment]],'Basic Data'!$A$1:$C$128,3,0),"")</f>
        <v>2.6771004942339376E-4</v>
      </c>
      <c r="O195" s="166" t="s">
        <v>918</v>
      </c>
      <c r="P195" s="149" t="s">
        <v>755</v>
      </c>
      <c r="Q195" s="149" t="s">
        <v>755</v>
      </c>
      <c r="R195" s="149" t="s">
        <v>920</v>
      </c>
      <c r="S195" s="187">
        <v>0.45833333333333331</v>
      </c>
      <c r="T195" s="187">
        <v>0.45833333333333331</v>
      </c>
      <c r="U195" s="187">
        <v>0.45833333333333331</v>
      </c>
      <c r="V195" s="187">
        <v>0.66666666666666663</v>
      </c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5</v>
      </c>
      <c r="Z195" s="153">
        <f>IFERROR((PA[[#This Row],[Work Completiuon time on fualt]]-PA[[#This Row],[Fault Time]])*24,"")</f>
        <v>5</v>
      </c>
      <c r="AA195" s="307" t="s">
        <v>875</v>
      </c>
      <c r="AB195" s="149" t="s">
        <v>763</v>
      </c>
      <c r="AC195" s="152">
        <f>IFERROR(PA[[#This Row],[Breakdown Time]]*PA[[#This Row],[Plant Equivalent Weightage]],)</f>
        <v>1.3385502471169688E-3</v>
      </c>
      <c r="AD195" s="153">
        <v>1.98</v>
      </c>
      <c r="AE195" s="163">
        <f>IFERROR(_xlfn.XLOOKUP(PA[[#This Row],[Month Year]],'Modelling New'!$D:$D,'Modelling New'!$O:$O)*M195*PA[[#This Row],[Lost PoA(kWh/m2)]],"")</f>
        <v>9.3110645378925661</v>
      </c>
      <c r="AF195" s="150"/>
      <c r="AG195" s="150"/>
      <c r="AH195" s="150"/>
    </row>
    <row r="196" spans="1:34" x14ac:dyDescent="0.35">
      <c r="A196" s="147">
        <f t="shared" si="3"/>
        <v>193</v>
      </c>
      <c r="B196" s="183">
        <v>45868</v>
      </c>
      <c r="C196" s="180">
        <f>YEAR(PA[[#This Row],[Date]])+IF(MONTH(PA[[#This Row],[Date]])&gt;=4,1,0)</f>
        <v>2026</v>
      </c>
      <c r="D196" s="155">
        <f>YEAR(PA[[#This Row],[Date]])</f>
        <v>2025</v>
      </c>
      <c r="E196" s="149" t="s">
        <v>4</v>
      </c>
      <c r="F196" s="149" t="s">
        <v>4</v>
      </c>
      <c r="G196" s="310">
        <f>PA[[#This Row],[Date]]-DAY(PA[[#This Row],[Date]])+1</f>
        <v>45839</v>
      </c>
      <c r="H196" s="155">
        <f>DAY(EOMONTH(PA[[#This Row],[Month Year]],0))</f>
        <v>31</v>
      </c>
      <c r="I196" s="151">
        <f>_xlfn.XLOOKUP(PA[[#This Row],[Date]],RD[Date],RD[Sunrise Time (POA&gt;20 W/m2)],0)</f>
        <v>0.28055555555555556</v>
      </c>
      <c r="J196" s="151">
        <f>_xlfn.XLOOKUP(PA[[#This Row],[Date]],RD[Date],RD[Sunset Time (POA&lt;20 W/m2)],0)</f>
        <v>0.7729166666666667</v>
      </c>
      <c r="K196" s="152">
        <f>IFERROR((PA[[#This Row],[Sunset Time (POA&lt;20 W/m2)]]-PA[[#This Row],[Sunrise Time (POA&gt;20 W/m2)]])*24,"")</f>
        <v>11.816666666666666</v>
      </c>
      <c r="L196" s="166" t="s">
        <v>473</v>
      </c>
      <c r="M196" s="180">
        <f>IFERROR(VLOOKUP(PA[[#This Row],[Affceted Equipment]],'Basic Data'!$A$2:$B$125,2,0),"")</f>
        <v>6.5</v>
      </c>
      <c r="N196" s="181">
        <f>IFERROR(VLOOKUP(PA[[#This Row],[Affceted Equipment]],'Basic Data'!$A$1:$C$128,3,0),"")</f>
        <v>2.6771004942339376E-4</v>
      </c>
      <c r="O196" s="166" t="s">
        <v>918</v>
      </c>
      <c r="P196" s="149" t="s">
        <v>755</v>
      </c>
      <c r="Q196" s="149" t="s">
        <v>755</v>
      </c>
      <c r="R196" s="149" t="s">
        <v>921</v>
      </c>
      <c r="S196" s="187">
        <v>0.45833333333333331</v>
      </c>
      <c r="T196" s="187">
        <v>0.45833333333333331</v>
      </c>
      <c r="U196" s="187">
        <v>0.45833333333333331</v>
      </c>
      <c r="V196" s="187">
        <v>0.66666666666666663</v>
      </c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5</v>
      </c>
      <c r="Z196" s="153">
        <f>IFERROR((PA[[#This Row],[Work Completiuon time on fualt]]-PA[[#This Row],[Fault Time]])*24,"")</f>
        <v>5</v>
      </c>
      <c r="AA196" s="307" t="s">
        <v>875</v>
      </c>
      <c r="AB196" s="149" t="s">
        <v>763</v>
      </c>
      <c r="AC196" s="152">
        <f>IFERROR(PA[[#This Row],[Breakdown Time]]*PA[[#This Row],[Plant Equivalent Weightage]],)</f>
        <v>1.3385502471169688E-3</v>
      </c>
      <c r="AD196" s="153">
        <v>1.98</v>
      </c>
      <c r="AE196" s="163">
        <f>IFERROR(_xlfn.XLOOKUP(PA[[#This Row],[Month Year]],'Modelling New'!$D:$D,'Modelling New'!$O:$O)*M196*PA[[#This Row],[Lost PoA(kWh/m2)]],"")</f>
        <v>9.3110645378925661</v>
      </c>
      <c r="AF196" s="150"/>
      <c r="AG196" s="150"/>
      <c r="AH196" s="150"/>
    </row>
    <row r="197" spans="1:34" x14ac:dyDescent="0.35">
      <c r="A197" s="147">
        <f t="shared" si="3"/>
        <v>194</v>
      </c>
      <c r="B197" s="183">
        <v>45868</v>
      </c>
      <c r="C197" s="180">
        <f>YEAR(PA[[#This Row],[Date]])+IF(MONTH(PA[[#This Row],[Date]])&gt;=4,1,0)</f>
        <v>2026</v>
      </c>
      <c r="D197" s="155">
        <f>YEAR(PA[[#This Row],[Date]])</f>
        <v>2025</v>
      </c>
      <c r="E197" s="149" t="s">
        <v>4</v>
      </c>
      <c r="F197" s="149" t="s">
        <v>4</v>
      </c>
      <c r="G197" s="310">
        <f>PA[[#This Row],[Date]]-DAY(PA[[#This Row],[Date]])+1</f>
        <v>45839</v>
      </c>
      <c r="H197" s="155">
        <f>DAY(EOMONTH(PA[[#This Row],[Month Year]],0))</f>
        <v>31</v>
      </c>
      <c r="I197" s="151">
        <f>_xlfn.XLOOKUP(PA[[#This Row],[Date]],RD[Date],RD[Sunrise Time (POA&gt;20 W/m2)],0)</f>
        <v>0.28055555555555556</v>
      </c>
      <c r="J197" s="151">
        <f>_xlfn.XLOOKUP(PA[[#This Row],[Date]],RD[Date],RD[Sunset Time (POA&lt;20 W/m2)],0)</f>
        <v>0.7729166666666667</v>
      </c>
      <c r="K197" s="152">
        <f>IFERROR((PA[[#This Row],[Sunset Time (POA&lt;20 W/m2)]]-PA[[#This Row],[Sunrise Time (POA&gt;20 W/m2)]])*24,"")</f>
        <v>11.816666666666666</v>
      </c>
      <c r="L197" s="166" t="s">
        <v>473</v>
      </c>
      <c r="M197" s="180">
        <f>IFERROR(VLOOKUP(PA[[#This Row],[Affceted Equipment]],'Basic Data'!$A$2:$B$125,2,0),"")</f>
        <v>6.5</v>
      </c>
      <c r="N197" s="181">
        <f>IFERROR(VLOOKUP(PA[[#This Row],[Affceted Equipment]],'Basic Data'!$A$1:$C$128,3,0),"")</f>
        <v>2.6771004942339376E-4</v>
      </c>
      <c r="O197" s="166" t="s">
        <v>918</v>
      </c>
      <c r="P197" s="149" t="s">
        <v>755</v>
      </c>
      <c r="Q197" s="149" t="s">
        <v>755</v>
      </c>
      <c r="R197" s="149" t="s">
        <v>922</v>
      </c>
      <c r="S197" s="187">
        <v>0.45833333333333331</v>
      </c>
      <c r="T197" s="187">
        <v>0.45833333333333331</v>
      </c>
      <c r="U197" s="187">
        <v>0.45833333333333331</v>
      </c>
      <c r="V197" s="187">
        <v>0.66666666666666663</v>
      </c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5</v>
      </c>
      <c r="Z197" s="153">
        <f>IFERROR((PA[[#This Row],[Work Completiuon time on fualt]]-PA[[#This Row],[Fault Time]])*24,"")</f>
        <v>5</v>
      </c>
      <c r="AA197" s="307" t="s">
        <v>875</v>
      </c>
      <c r="AB197" s="149" t="s">
        <v>763</v>
      </c>
      <c r="AC197" s="152">
        <f>IFERROR(PA[[#This Row],[Breakdown Time]]*PA[[#This Row],[Plant Equivalent Weightage]],)</f>
        <v>1.3385502471169688E-3</v>
      </c>
      <c r="AD197" s="153">
        <v>1.98</v>
      </c>
      <c r="AE197" s="163">
        <f>IFERROR(_xlfn.XLOOKUP(PA[[#This Row],[Month Year]],'Modelling New'!$D:$D,'Modelling New'!$O:$O)*M197*PA[[#This Row],[Lost PoA(kWh/m2)]],"")</f>
        <v>9.3110645378925661</v>
      </c>
      <c r="AF197" s="150"/>
      <c r="AG197" s="150"/>
      <c r="AH197" s="150"/>
    </row>
    <row r="198" spans="1:34" x14ac:dyDescent="0.35">
      <c r="A198" s="147">
        <f t="shared" si="3"/>
        <v>195</v>
      </c>
      <c r="B198" s="183">
        <v>45869</v>
      </c>
      <c r="C198" s="180">
        <f>YEAR(PA[[#This Row],[Date]])+IF(MONTH(PA[[#This Row],[Date]])&gt;=4,1,0)</f>
        <v>2026</v>
      </c>
      <c r="D198" s="155">
        <f>YEAR(PA[[#This Row],[Date]])</f>
        <v>2025</v>
      </c>
      <c r="E198" s="149" t="s">
        <v>4</v>
      </c>
      <c r="F198" s="149" t="s">
        <v>4</v>
      </c>
      <c r="G198" s="310">
        <f>PA[[#This Row],[Date]]-DAY(PA[[#This Row],[Date]])+1</f>
        <v>45839</v>
      </c>
      <c r="H198" s="155">
        <f>DAY(EOMONTH(PA[[#This Row],[Month Year]],0))</f>
        <v>31</v>
      </c>
      <c r="I198" s="151">
        <f>_xlfn.XLOOKUP(PA[[#This Row],[Date]],RD[Date],RD[Sunrise Time (POA&gt;20 W/m2)],0)</f>
        <v>0.2722222222222222</v>
      </c>
      <c r="J198" s="151">
        <f>_xlfn.XLOOKUP(PA[[#This Row],[Date]],RD[Date],RD[Sunset Time (POA&lt;20 W/m2)],0)</f>
        <v>0.78472222222222221</v>
      </c>
      <c r="K198" s="152">
        <f>IFERROR((PA[[#This Row],[Sunset Time (POA&lt;20 W/m2)]]-PA[[#This Row],[Sunrise Time (POA&gt;20 W/m2)]])*24,"")</f>
        <v>12.299999999999999</v>
      </c>
      <c r="L198" s="166" t="s">
        <v>472</v>
      </c>
      <c r="M198" s="180">
        <f>IFERROR(VLOOKUP(PA[[#This Row],[Affceted Equipment]],'Basic Data'!$A$2:$B$125,2,0),"")</f>
        <v>6.4</v>
      </c>
      <c r="N198" s="181">
        <f>IFERROR(VLOOKUP(PA[[#This Row],[Affceted Equipment]],'Basic Data'!$A$1:$C$128,3,0),"")</f>
        <v>2.6359143327841849E-4</v>
      </c>
      <c r="O198" s="166" t="s">
        <v>923</v>
      </c>
      <c r="P198" s="149" t="s">
        <v>782</v>
      </c>
      <c r="Q198" s="149" t="s">
        <v>782</v>
      </c>
      <c r="R198" s="149" t="s">
        <v>924</v>
      </c>
      <c r="S198" s="187">
        <v>0.45833333333333331</v>
      </c>
      <c r="T198" s="187">
        <v>0.45833333333333331</v>
      </c>
      <c r="U198" s="187">
        <v>0.45833333333333331</v>
      </c>
      <c r="V198" s="187">
        <v>0.66666666666666663</v>
      </c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5</v>
      </c>
      <c r="Z198" s="153">
        <f>IFERROR((PA[[#This Row],[Work Completiuon time on fualt]]-PA[[#This Row],[Fault Time]])*24,"")</f>
        <v>5</v>
      </c>
      <c r="AA198" s="307" t="s">
        <v>875</v>
      </c>
      <c r="AB198" s="149" t="s">
        <v>763</v>
      </c>
      <c r="AC198" s="152">
        <f>IFERROR(PA[[#This Row],[Breakdown Time]]*PA[[#This Row],[Plant Equivalent Weightage]],)</f>
        <v>1.3179571663920924E-3</v>
      </c>
      <c r="AD198" s="153">
        <v>2.98</v>
      </c>
      <c r="AE198" s="163">
        <f>IFERROR(_xlfn.XLOOKUP(PA[[#This Row],[Month Year]],'Modelling New'!$D:$D,'Modelling New'!$O:$O)*M198*PA[[#This Row],[Lost PoA(kWh/m2)]],"")</f>
        <v>13.798028194769776</v>
      </c>
      <c r="AF198" s="150"/>
      <c r="AG198" s="150"/>
      <c r="AH198" s="150"/>
    </row>
    <row r="199" spans="1:34" x14ac:dyDescent="0.35">
      <c r="A199" s="147">
        <f t="shared" si="3"/>
        <v>196</v>
      </c>
      <c r="B199" s="183">
        <v>45869</v>
      </c>
      <c r="C199" s="180">
        <f>YEAR(PA[[#This Row],[Date]])+IF(MONTH(PA[[#This Row],[Date]])&gt;=4,1,0)</f>
        <v>2026</v>
      </c>
      <c r="D199" s="155">
        <f>YEAR(PA[[#This Row],[Date]])</f>
        <v>2025</v>
      </c>
      <c r="E199" s="149" t="s">
        <v>4</v>
      </c>
      <c r="F199" s="149" t="s">
        <v>4</v>
      </c>
      <c r="G199" s="310">
        <f>PA[[#This Row],[Date]]-DAY(PA[[#This Row],[Date]])+1</f>
        <v>45839</v>
      </c>
      <c r="H199" s="155">
        <f>DAY(EOMONTH(PA[[#This Row],[Month Year]],0))</f>
        <v>31</v>
      </c>
      <c r="I199" s="151">
        <f>_xlfn.XLOOKUP(PA[[#This Row],[Date]],RD[Date],RD[Sunrise Time (POA&gt;20 W/m2)],0)</f>
        <v>0.2722222222222222</v>
      </c>
      <c r="J199" s="151">
        <f>_xlfn.XLOOKUP(PA[[#This Row],[Date]],RD[Date],RD[Sunset Time (POA&lt;20 W/m2)],0)</f>
        <v>0.78472222222222221</v>
      </c>
      <c r="K199" s="152">
        <f>IFERROR((PA[[#This Row],[Sunset Time (POA&lt;20 W/m2)]]-PA[[#This Row],[Sunrise Time (POA&gt;20 W/m2)]])*24,"")</f>
        <v>12.299999999999999</v>
      </c>
      <c r="L199" s="166" t="s">
        <v>472</v>
      </c>
      <c r="M199" s="180">
        <f>IFERROR(VLOOKUP(PA[[#This Row],[Affceted Equipment]],'Basic Data'!$A$2:$B$125,2,0),"")</f>
        <v>6.4</v>
      </c>
      <c r="N199" s="181">
        <f>IFERROR(VLOOKUP(PA[[#This Row],[Affceted Equipment]],'Basic Data'!$A$1:$C$128,3,0),"")</f>
        <v>2.6359143327841849E-4</v>
      </c>
      <c r="O199" s="166" t="s">
        <v>923</v>
      </c>
      <c r="P199" s="149" t="s">
        <v>782</v>
      </c>
      <c r="Q199" s="149" t="s">
        <v>782</v>
      </c>
      <c r="R199" s="149" t="s">
        <v>925</v>
      </c>
      <c r="S199" s="187">
        <v>0.45833333333333331</v>
      </c>
      <c r="T199" s="187">
        <v>0.45833333333333331</v>
      </c>
      <c r="U199" s="187">
        <v>0.45833333333333331</v>
      </c>
      <c r="V199" s="187">
        <v>0.66666666666666663</v>
      </c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5</v>
      </c>
      <c r="Z199" s="153">
        <f>IFERROR((PA[[#This Row],[Work Completiuon time on fualt]]-PA[[#This Row],[Fault Time]])*24,"")</f>
        <v>5</v>
      </c>
      <c r="AA199" s="307" t="s">
        <v>875</v>
      </c>
      <c r="AB199" s="149" t="s">
        <v>763</v>
      </c>
      <c r="AC199" s="152">
        <f>IFERROR(PA[[#This Row],[Breakdown Time]]*PA[[#This Row],[Plant Equivalent Weightage]],)</f>
        <v>1.3179571663920924E-3</v>
      </c>
      <c r="AD199" s="153">
        <v>2.98</v>
      </c>
      <c r="AE199" s="163">
        <f>IFERROR(_xlfn.XLOOKUP(PA[[#This Row],[Month Year]],'Modelling New'!$D:$D,'Modelling New'!$O:$O)*M199*PA[[#This Row],[Lost PoA(kWh/m2)]],"")</f>
        <v>13.798028194769776</v>
      </c>
      <c r="AF199" s="150"/>
      <c r="AG199" s="150"/>
      <c r="AH199" s="150"/>
    </row>
    <row r="200" spans="1:34" x14ac:dyDescent="0.35">
      <c r="A200" s="147">
        <f t="shared" si="3"/>
        <v>197</v>
      </c>
      <c r="B200" s="183">
        <v>45869</v>
      </c>
      <c r="C200" s="180">
        <f>YEAR(PA[[#This Row],[Date]])+IF(MONTH(PA[[#This Row],[Date]])&gt;=4,1,0)</f>
        <v>2026</v>
      </c>
      <c r="D200" s="155">
        <f>YEAR(PA[[#This Row],[Date]])</f>
        <v>2025</v>
      </c>
      <c r="E200" s="149" t="s">
        <v>4</v>
      </c>
      <c r="F200" s="149" t="s">
        <v>4</v>
      </c>
      <c r="G200" s="310">
        <f>PA[[#This Row],[Date]]-DAY(PA[[#This Row],[Date]])+1</f>
        <v>45839</v>
      </c>
      <c r="H200" s="155">
        <f>DAY(EOMONTH(PA[[#This Row],[Month Year]],0))</f>
        <v>31</v>
      </c>
      <c r="I200" s="151">
        <f>_xlfn.XLOOKUP(PA[[#This Row],[Date]],RD[Date],RD[Sunrise Time (POA&gt;20 W/m2)],0)</f>
        <v>0.2722222222222222</v>
      </c>
      <c r="J200" s="151">
        <f>_xlfn.XLOOKUP(PA[[#This Row],[Date]],RD[Date],RD[Sunset Time (POA&lt;20 W/m2)],0)</f>
        <v>0.78472222222222221</v>
      </c>
      <c r="K200" s="152">
        <f>IFERROR((PA[[#This Row],[Sunset Time (POA&lt;20 W/m2)]]-PA[[#This Row],[Sunrise Time (POA&gt;20 W/m2)]])*24,"")</f>
        <v>12.299999999999999</v>
      </c>
      <c r="L200" s="166" t="s">
        <v>472</v>
      </c>
      <c r="M200" s="180">
        <f>IFERROR(VLOOKUP(PA[[#This Row],[Affceted Equipment]],'Basic Data'!$A$2:$B$125,2,0),"")</f>
        <v>6.4</v>
      </c>
      <c r="N200" s="181">
        <f>IFERROR(VLOOKUP(PA[[#This Row],[Affceted Equipment]],'Basic Data'!$A$1:$C$128,3,0),"")</f>
        <v>2.6359143327841849E-4</v>
      </c>
      <c r="O200" s="166" t="s">
        <v>923</v>
      </c>
      <c r="P200" s="149" t="s">
        <v>782</v>
      </c>
      <c r="Q200" s="149" t="s">
        <v>782</v>
      </c>
      <c r="R200" s="149" t="s">
        <v>926</v>
      </c>
      <c r="S200" s="187">
        <v>0.45833333333333331</v>
      </c>
      <c r="T200" s="187">
        <v>0.45833333333333331</v>
      </c>
      <c r="U200" s="187">
        <v>0.45833333333333331</v>
      </c>
      <c r="V200" s="187">
        <v>0.66666666666666663</v>
      </c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5</v>
      </c>
      <c r="Z200" s="153">
        <f>IFERROR((PA[[#This Row],[Work Completiuon time on fualt]]-PA[[#This Row],[Fault Time]])*24,"")</f>
        <v>5</v>
      </c>
      <c r="AA200" s="307" t="s">
        <v>875</v>
      </c>
      <c r="AB200" s="149" t="s">
        <v>763</v>
      </c>
      <c r="AC200" s="152">
        <f>IFERROR(PA[[#This Row],[Breakdown Time]]*PA[[#This Row],[Plant Equivalent Weightage]],)</f>
        <v>1.3179571663920924E-3</v>
      </c>
      <c r="AD200" s="153">
        <v>2.98</v>
      </c>
      <c r="AE200" s="163">
        <f>IFERROR(_xlfn.XLOOKUP(PA[[#This Row],[Month Year]],'Modelling New'!$D:$D,'Modelling New'!$O:$O)*M200*PA[[#This Row],[Lost PoA(kWh/m2)]],"")</f>
        <v>13.798028194769776</v>
      </c>
      <c r="AF200" s="150"/>
      <c r="AG200" s="150"/>
      <c r="AH200" s="150"/>
    </row>
    <row r="201" spans="1:34" x14ac:dyDescent="0.35">
      <c r="A201" s="147">
        <f t="shared" si="3"/>
        <v>198</v>
      </c>
      <c r="B201" s="183">
        <v>45869</v>
      </c>
      <c r="C201" s="180">
        <f>YEAR(PA[[#This Row],[Date]])+IF(MONTH(PA[[#This Row],[Date]])&gt;=4,1,0)</f>
        <v>2026</v>
      </c>
      <c r="D201" s="155">
        <f>YEAR(PA[[#This Row],[Date]])</f>
        <v>2025</v>
      </c>
      <c r="E201" s="149" t="s">
        <v>4</v>
      </c>
      <c r="F201" s="149" t="s">
        <v>4</v>
      </c>
      <c r="G201" s="310">
        <f>PA[[#This Row],[Date]]-DAY(PA[[#This Row],[Date]])+1</f>
        <v>45839</v>
      </c>
      <c r="H201" s="155">
        <f>DAY(EOMONTH(PA[[#This Row],[Month Year]],0))</f>
        <v>31</v>
      </c>
      <c r="I201" s="151">
        <f>_xlfn.XLOOKUP(PA[[#This Row],[Date]],RD[Date],RD[Sunrise Time (POA&gt;20 W/m2)],0)</f>
        <v>0.2722222222222222</v>
      </c>
      <c r="J201" s="151">
        <f>_xlfn.XLOOKUP(PA[[#This Row],[Date]],RD[Date],RD[Sunset Time (POA&lt;20 W/m2)],0)</f>
        <v>0.78472222222222221</v>
      </c>
      <c r="K201" s="152">
        <f>IFERROR((PA[[#This Row],[Sunset Time (POA&lt;20 W/m2)]]-PA[[#This Row],[Sunrise Time (POA&gt;20 W/m2)]])*24,"")</f>
        <v>12.299999999999999</v>
      </c>
      <c r="L201" s="166" t="s">
        <v>472</v>
      </c>
      <c r="M201" s="180">
        <f>IFERROR(VLOOKUP(PA[[#This Row],[Affceted Equipment]],'Basic Data'!$A$2:$B$125,2,0),"")</f>
        <v>6.4</v>
      </c>
      <c r="N201" s="181">
        <f>IFERROR(VLOOKUP(PA[[#This Row],[Affceted Equipment]],'Basic Data'!$A$1:$C$128,3,0),"")</f>
        <v>2.6359143327841849E-4</v>
      </c>
      <c r="O201" s="166" t="s">
        <v>923</v>
      </c>
      <c r="P201" s="149" t="s">
        <v>782</v>
      </c>
      <c r="Q201" s="149" t="s">
        <v>782</v>
      </c>
      <c r="R201" s="149" t="s">
        <v>927</v>
      </c>
      <c r="S201" s="187">
        <v>0.45833333333333331</v>
      </c>
      <c r="T201" s="187">
        <v>0.45833333333333331</v>
      </c>
      <c r="U201" s="187">
        <v>0.45833333333333331</v>
      </c>
      <c r="V201" s="187">
        <v>0.66666666666666663</v>
      </c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5</v>
      </c>
      <c r="Z201" s="153">
        <f>IFERROR((PA[[#This Row],[Work Completiuon time on fualt]]-PA[[#This Row],[Fault Time]])*24,"")</f>
        <v>5</v>
      </c>
      <c r="AA201" s="307" t="s">
        <v>928</v>
      </c>
      <c r="AB201" s="149" t="s">
        <v>763</v>
      </c>
      <c r="AC201" s="152">
        <f>IFERROR(PA[[#This Row],[Breakdown Time]]*PA[[#This Row],[Plant Equivalent Weightage]],)</f>
        <v>1.3179571663920924E-3</v>
      </c>
      <c r="AD201" s="153">
        <v>2.98</v>
      </c>
      <c r="AE201" s="163">
        <f>IFERROR(_xlfn.XLOOKUP(PA[[#This Row],[Month Year]],'Modelling New'!$D:$D,'Modelling New'!$O:$O)*M201*PA[[#This Row],[Lost PoA(kWh/m2)]],"")</f>
        <v>13.798028194769776</v>
      </c>
      <c r="AF201" s="150"/>
      <c r="AG201" s="150"/>
      <c r="AH201" s="150"/>
    </row>
    <row r="202" spans="1:34" x14ac:dyDescent="0.35">
      <c r="A202" s="147">
        <f t="shared" si="3"/>
        <v>199</v>
      </c>
      <c r="B202" s="183">
        <v>45871</v>
      </c>
      <c r="C202" s="180">
        <f>YEAR(PA[[#This Row],[Date]])+IF(MONTH(PA[[#This Row],[Date]])&gt;=4,1,0)</f>
        <v>2026</v>
      </c>
      <c r="D202" s="155">
        <f>YEAR(PA[[#This Row],[Date]])</f>
        <v>2025</v>
      </c>
      <c r="E202" s="149" t="s">
        <v>4</v>
      </c>
      <c r="F202" s="149" t="s">
        <v>4</v>
      </c>
      <c r="G202" s="310">
        <f>PA[[#This Row],[Date]]-DAY(PA[[#This Row],[Date]])+1</f>
        <v>45870</v>
      </c>
      <c r="H202" s="155">
        <f>DAY(EOMONTH(PA[[#This Row],[Month Year]],0))</f>
        <v>31</v>
      </c>
      <c r="I202" s="151">
        <f>_xlfn.XLOOKUP(PA[[#This Row],[Date]],RD[Date],RD[Sunrise Time (POA&gt;20 W/m2)],0)</f>
        <v>0.26527777777777778</v>
      </c>
      <c r="J202" s="151">
        <f>_xlfn.XLOOKUP(PA[[#This Row],[Date]],RD[Date],RD[Sunset Time (POA&lt;20 W/m2)],0)</f>
        <v>0.78333333333333333</v>
      </c>
      <c r="K202" s="152">
        <f>IFERROR((PA[[#This Row],[Sunset Time (POA&lt;20 W/m2)]]-PA[[#This Row],[Sunrise Time (POA&gt;20 W/m2)]])*24,"")</f>
        <v>12.433333333333332</v>
      </c>
      <c r="L202" s="166" t="s">
        <v>168</v>
      </c>
      <c r="M202" s="180">
        <v>24213.794999999998</v>
      </c>
      <c r="N202" s="181">
        <v>0.99727327018121903</v>
      </c>
      <c r="O202" s="166" t="s">
        <v>168</v>
      </c>
      <c r="P202" s="149" t="s">
        <v>170</v>
      </c>
      <c r="Q202" s="149" t="s">
        <v>717</v>
      </c>
      <c r="R202" s="154" t="s">
        <v>912</v>
      </c>
      <c r="S202" s="187">
        <v>0.3</v>
      </c>
      <c r="T202" s="187">
        <v>0.3</v>
      </c>
      <c r="U202" s="187">
        <v>0.3</v>
      </c>
      <c r="V202" s="187">
        <v>0.33958333333333335</v>
      </c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0.95000000000000062</v>
      </c>
      <c r="Z202" s="153">
        <f>IFERROR((PA[[#This Row],[Work Completiuon time on fualt]]-PA[[#This Row],[Fault Time]])*24,"")</f>
        <v>0.95000000000000062</v>
      </c>
      <c r="AA202" s="312" t="s">
        <v>913</v>
      </c>
      <c r="AB202" s="149" t="s">
        <v>763</v>
      </c>
      <c r="AC202" s="152">
        <f>IFERROR(PA[[#This Row],[Breakdown Time]]*PA[[#This Row],[Plant Equivalent Weightage]],)</f>
        <v>0.94740960667215868</v>
      </c>
      <c r="AD202" s="153">
        <v>0.18</v>
      </c>
      <c r="AE202" s="163">
        <f>IFERROR(_xlfn.XLOOKUP(PA[[#This Row],[Month Year]],'Modelling New'!$D:$D,'Modelling New'!$O:$O)*M202*PA[[#This Row],[Lost PoA(kWh/m2)]],"")</f>
        <v>3354.0519604103156</v>
      </c>
      <c r="AF202" s="150"/>
      <c r="AG202" s="150"/>
      <c r="AH202" s="150"/>
    </row>
    <row r="203" spans="1:34" x14ac:dyDescent="0.3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0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4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 x14ac:dyDescent="0.3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0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4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 x14ac:dyDescent="0.3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0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4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 x14ac:dyDescent="0.3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0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4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 x14ac:dyDescent="0.3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0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4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 x14ac:dyDescent="0.3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0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4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 x14ac:dyDescent="0.3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0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4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 x14ac:dyDescent="0.3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0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4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 x14ac:dyDescent="0.3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0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4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 x14ac:dyDescent="0.3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0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4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 x14ac:dyDescent="0.3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0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4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 x14ac:dyDescent="0.3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0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4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 x14ac:dyDescent="0.3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0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4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 x14ac:dyDescent="0.3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0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4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 x14ac:dyDescent="0.3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0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4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 x14ac:dyDescent="0.3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0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4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 x14ac:dyDescent="0.3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0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4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 x14ac:dyDescent="0.3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0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4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 x14ac:dyDescent="0.3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0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4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 x14ac:dyDescent="0.3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0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4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 x14ac:dyDescent="0.3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0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4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 x14ac:dyDescent="0.3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0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4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 x14ac:dyDescent="0.3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0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4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 x14ac:dyDescent="0.3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0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4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 x14ac:dyDescent="0.3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0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4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 x14ac:dyDescent="0.3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0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4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 x14ac:dyDescent="0.3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0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4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 x14ac:dyDescent="0.3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0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4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 x14ac:dyDescent="0.3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0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4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 x14ac:dyDescent="0.3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0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4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 x14ac:dyDescent="0.3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0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4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 x14ac:dyDescent="0.3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0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4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 x14ac:dyDescent="0.3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0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4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 x14ac:dyDescent="0.3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0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4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 x14ac:dyDescent="0.3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0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4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 x14ac:dyDescent="0.3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0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4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 x14ac:dyDescent="0.3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0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4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 x14ac:dyDescent="0.3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0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4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 x14ac:dyDescent="0.3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0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4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 x14ac:dyDescent="0.3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0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4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 x14ac:dyDescent="0.35">
      <c r="A243" s="147"/>
      <c r="B243" s="183"/>
      <c r="C243" s="180"/>
      <c r="D243" s="155">
        <f>YEAR(PA[[#This Row],[Date]])</f>
        <v>1900</v>
      </c>
      <c r="E243" s="154"/>
      <c r="F243" s="154"/>
      <c r="G243" s="310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4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16" activePane="bottomLeft" state="frozen"/>
      <selection activeCell="C1" sqref="C1"/>
      <selection pane="bottomLeft" activeCell="F60" sqref="F60"/>
    </sheetView>
  </sheetViews>
  <sheetFormatPr defaultColWidth="8.81640625" defaultRowHeight="14.5" x14ac:dyDescent="0.35"/>
  <cols>
    <col min="2" max="2" width="11.1796875" bestFit="1" customWidth="1"/>
    <col min="3" max="3" width="12.453125" bestFit="1" customWidth="1"/>
    <col min="4" max="4" width="14.81640625" bestFit="1" customWidth="1"/>
    <col min="5" max="5" width="13.453125" bestFit="1" customWidth="1"/>
    <col min="6" max="6" width="10.81640625" bestFit="1" customWidth="1"/>
    <col min="7" max="7" width="8.1796875" customWidth="1"/>
    <col min="8" max="8" width="10.1796875" bestFit="1" customWidth="1"/>
    <col min="9" max="9" width="56.1796875" customWidth="1"/>
    <col min="10" max="10" width="14.453125" customWidth="1"/>
    <col min="11" max="11" width="18.1796875" customWidth="1"/>
    <col min="12" max="12" width="17.81640625" customWidth="1"/>
    <col min="13" max="13" width="24.1796875" bestFit="1" customWidth="1"/>
  </cols>
  <sheetData>
    <row r="1" spans="1:14" ht="29" x14ac:dyDescent="0.35">
      <c r="A1" s="6" t="s">
        <v>7</v>
      </c>
      <c r="B1" s="6" t="s">
        <v>116</v>
      </c>
      <c r="C1" s="6" t="s">
        <v>118</v>
      </c>
      <c r="D1" s="6" t="s">
        <v>119</v>
      </c>
      <c r="E1" s="6" t="s">
        <v>120</v>
      </c>
      <c r="F1" s="6" t="s">
        <v>75</v>
      </c>
      <c r="G1" s="6" t="s">
        <v>40</v>
      </c>
      <c r="H1" s="6" t="s">
        <v>72</v>
      </c>
      <c r="I1" s="12" t="s">
        <v>929</v>
      </c>
      <c r="J1" s="12" t="s">
        <v>930</v>
      </c>
      <c r="K1" s="12" t="s">
        <v>931</v>
      </c>
      <c r="L1" s="12" t="s">
        <v>932</v>
      </c>
      <c r="M1" s="12" t="s">
        <v>933</v>
      </c>
      <c r="N1" s="11" t="s">
        <v>673</v>
      </c>
    </row>
    <row r="2" spans="1:14" hidden="1" x14ac:dyDescent="0.35">
      <c r="A2" s="2">
        <v>1</v>
      </c>
      <c r="B2" s="2" t="s">
        <v>934</v>
      </c>
      <c r="C2" s="2">
        <v>2025</v>
      </c>
      <c r="D2" s="2">
        <v>3</v>
      </c>
      <c r="E2" s="2"/>
      <c r="F2" s="39" t="s">
        <v>935</v>
      </c>
      <c r="G2" s="2">
        <f>DAY(EOMONTH(Spare[[#This Row],[Date]], 0))</f>
        <v>30</v>
      </c>
      <c r="H2" s="40">
        <v>45770</v>
      </c>
      <c r="I2" t="s">
        <v>936</v>
      </c>
      <c r="J2" s="6">
        <v>185</v>
      </c>
      <c r="K2" t="s">
        <v>36</v>
      </c>
      <c r="L2" t="s">
        <v>937</v>
      </c>
    </row>
    <row r="3" spans="1:14" hidden="1" x14ac:dyDescent="0.35">
      <c r="A3" s="2">
        <f>A2+1</f>
        <v>2</v>
      </c>
      <c r="B3" s="2" t="s">
        <v>934</v>
      </c>
      <c r="C3" s="2">
        <v>2025</v>
      </c>
      <c r="D3" s="2">
        <v>3</v>
      </c>
      <c r="E3" s="2"/>
      <c r="F3" s="39" t="s">
        <v>935</v>
      </c>
      <c r="G3" s="2">
        <f>DAY(EOMONTH(Spare[[#This Row],[Date]], 0))</f>
        <v>30</v>
      </c>
      <c r="H3" s="40">
        <v>45770</v>
      </c>
      <c r="I3" t="s">
        <v>329</v>
      </c>
      <c r="J3" s="6">
        <v>12</v>
      </c>
      <c r="K3" t="s">
        <v>36</v>
      </c>
      <c r="L3" t="s">
        <v>937</v>
      </c>
    </row>
    <row r="4" spans="1:14" hidden="1" x14ac:dyDescent="0.35">
      <c r="A4" s="2">
        <f t="shared" ref="A4:A67" si="0">A3+1</f>
        <v>3</v>
      </c>
      <c r="B4" s="2" t="s">
        <v>934</v>
      </c>
      <c r="C4" s="2">
        <v>2025</v>
      </c>
      <c r="D4" s="2">
        <v>3</v>
      </c>
      <c r="E4" s="2"/>
      <c r="F4" s="39" t="s">
        <v>272</v>
      </c>
      <c r="G4" s="2">
        <f>DAY(EOMONTH(Spare[[#This Row],[Date]], 0))</f>
        <v>31</v>
      </c>
      <c r="H4" s="40">
        <v>45794</v>
      </c>
      <c r="I4" t="s">
        <v>938</v>
      </c>
      <c r="J4" s="6">
        <v>2</v>
      </c>
      <c r="K4" t="s">
        <v>939</v>
      </c>
      <c r="L4" t="s">
        <v>937</v>
      </c>
    </row>
    <row r="5" spans="1:14" hidden="1" x14ac:dyDescent="0.35">
      <c r="A5" s="2">
        <f t="shared" si="0"/>
        <v>4</v>
      </c>
      <c r="B5" s="2" t="s">
        <v>940</v>
      </c>
      <c r="C5" s="2">
        <v>2025</v>
      </c>
      <c r="D5" s="2">
        <v>3</v>
      </c>
      <c r="E5" s="2"/>
      <c r="F5" s="39" t="s">
        <v>277</v>
      </c>
      <c r="G5" s="2">
        <f>DAY(EOMONTH(Spare[[#This Row],[Date]], 0))</f>
        <v>30</v>
      </c>
      <c r="H5" s="40">
        <v>45809</v>
      </c>
      <c r="I5" t="s">
        <v>329</v>
      </c>
      <c r="J5" s="6">
        <v>9</v>
      </c>
      <c r="K5" t="s">
        <v>36</v>
      </c>
      <c r="L5" t="s">
        <v>937</v>
      </c>
    </row>
    <row r="6" spans="1:14" hidden="1" x14ac:dyDescent="0.35">
      <c r="A6" s="2">
        <f t="shared" si="0"/>
        <v>5</v>
      </c>
      <c r="B6" s="2" t="s">
        <v>940</v>
      </c>
      <c r="C6" s="2">
        <v>2025</v>
      </c>
      <c r="D6" s="2">
        <v>3</v>
      </c>
      <c r="E6" s="2"/>
      <c r="F6" s="39" t="s">
        <v>277</v>
      </c>
      <c r="G6" s="2">
        <f>DAY(EOMONTH(Spare[[#This Row],[Date]], 0))</f>
        <v>30</v>
      </c>
      <c r="H6" s="40">
        <v>45809</v>
      </c>
      <c r="I6" t="s">
        <v>936</v>
      </c>
      <c r="J6" s="6">
        <v>240</v>
      </c>
      <c r="K6" t="s">
        <v>36</v>
      </c>
      <c r="L6" t="s">
        <v>937</v>
      </c>
    </row>
    <row r="7" spans="1:14" hidden="1" x14ac:dyDescent="0.35">
      <c r="A7" s="2">
        <f t="shared" si="0"/>
        <v>6</v>
      </c>
      <c r="B7" s="2" t="s">
        <v>940</v>
      </c>
      <c r="C7" s="2">
        <v>2025</v>
      </c>
      <c r="D7" s="2">
        <v>3</v>
      </c>
      <c r="E7" s="2"/>
      <c r="F7" s="39" t="s">
        <v>277</v>
      </c>
      <c r="G7" s="2">
        <f>DAY(EOMONTH(Spare[[#This Row],[Date]], 0))</f>
        <v>30</v>
      </c>
      <c r="H7" s="40">
        <v>45828</v>
      </c>
      <c r="I7" t="s">
        <v>936</v>
      </c>
      <c r="J7" s="6">
        <v>400</v>
      </c>
      <c r="K7" t="s">
        <v>36</v>
      </c>
      <c r="L7" t="s">
        <v>937</v>
      </c>
    </row>
    <row r="8" spans="1:14" hidden="1" x14ac:dyDescent="0.35">
      <c r="A8" s="2">
        <f t="shared" si="0"/>
        <v>7</v>
      </c>
      <c r="B8" s="2" t="s">
        <v>940</v>
      </c>
      <c r="C8" s="2">
        <v>2025</v>
      </c>
      <c r="D8" s="2">
        <v>3</v>
      </c>
      <c r="E8" s="2"/>
      <c r="F8" s="39" t="s">
        <v>277</v>
      </c>
      <c r="G8" s="2">
        <f>DAY(EOMONTH(Spare[[#This Row],[Date]], 0))</f>
        <v>30</v>
      </c>
      <c r="H8" s="40">
        <v>45828</v>
      </c>
      <c r="I8" t="s">
        <v>941</v>
      </c>
      <c r="J8" s="6">
        <v>12</v>
      </c>
      <c r="K8" t="s">
        <v>36</v>
      </c>
      <c r="L8" t="s">
        <v>937</v>
      </c>
    </row>
    <row r="9" spans="1:14" hidden="1" x14ac:dyDescent="0.35">
      <c r="A9" s="2">
        <f t="shared" si="0"/>
        <v>8</v>
      </c>
      <c r="B9" s="2" t="s">
        <v>940</v>
      </c>
      <c r="C9" s="2">
        <v>2025</v>
      </c>
      <c r="D9" s="2">
        <v>3</v>
      </c>
      <c r="E9" s="2"/>
      <c r="F9" s="39" t="s">
        <v>277</v>
      </c>
      <c r="G9" s="2">
        <f>DAY(EOMONTH(Spare[[#This Row],[Date]], 0))</f>
        <v>30</v>
      </c>
      <c r="H9" s="40">
        <v>45828</v>
      </c>
      <c r="I9" t="s">
        <v>942</v>
      </c>
      <c r="J9" s="6">
        <v>8</v>
      </c>
      <c r="K9" t="s">
        <v>36</v>
      </c>
      <c r="L9" t="s">
        <v>937</v>
      </c>
    </row>
    <row r="10" spans="1:14" hidden="1" x14ac:dyDescent="0.35">
      <c r="A10" s="2">
        <f t="shared" si="0"/>
        <v>9</v>
      </c>
      <c r="B10" s="2" t="s">
        <v>940</v>
      </c>
      <c r="C10" s="2">
        <v>2025</v>
      </c>
      <c r="D10" s="2">
        <v>3</v>
      </c>
      <c r="E10" s="2"/>
      <c r="F10" s="39" t="s">
        <v>277</v>
      </c>
      <c r="G10" s="2">
        <f>DAY(EOMONTH(Spare[[#This Row],[Date]], 0))</f>
        <v>30</v>
      </c>
      <c r="H10" s="40">
        <v>45830</v>
      </c>
      <c r="I10" t="s">
        <v>942</v>
      </c>
      <c r="J10" s="6">
        <v>6</v>
      </c>
      <c r="K10" t="s">
        <v>36</v>
      </c>
      <c r="L10" t="s">
        <v>937</v>
      </c>
    </row>
    <row r="11" spans="1:14" hidden="1" x14ac:dyDescent="0.35">
      <c r="A11" s="2">
        <f t="shared" si="0"/>
        <v>10</v>
      </c>
      <c r="B11" s="2" t="s">
        <v>940</v>
      </c>
      <c r="C11" s="2">
        <v>2025</v>
      </c>
      <c r="D11" s="2">
        <v>3</v>
      </c>
      <c r="E11" s="2"/>
      <c r="F11" s="39" t="s">
        <v>277</v>
      </c>
      <c r="G11" s="2">
        <f>DAY(EOMONTH(Spare[[#This Row],[Date]], 0))</f>
        <v>30</v>
      </c>
      <c r="H11" s="40">
        <v>45830</v>
      </c>
      <c r="I11" t="s">
        <v>941</v>
      </c>
      <c r="J11" s="6">
        <v>10</v>
      </c>
      <c r="K11" t="s">
        <v>36</v>
      </c>
      <c r="L11" t="s">
        <v>937</v>
      </c>
    </row>
    <row r="12" spans="1:14" hidden="1" x14ac:dyDescent="0.35">
      <c r="A12" s="2">
        <f t="shared" si="0"/>
        <v>11</v>
      </c>
      <c r="B12" s="2" t="s">
        <v>940</v>
      </c>
      <c r="C12" s="2">
        <v>2025</v>
      </c>
      <c r="D12" s="2">
        <v>3</v>
      </c>
      <c r="E12" s="2"/>
      <c r="F12" s="39" t="s">
        <v>277</v>
      </c>
      <c r="G12" s="2">
        <f>DAY(EOMONTH(Spare[[#This Row],[Date]], 0))</f>
        <v>30</v>
      </c>
      <c r="H12" s="40">
        <v>45830</v>
      </c>
      <c r="I12" t="s">
        <v>936</v>
      </c>
      <c r="J12" s="6">
        <v>380</v>
      </c>
      <c r="K12" t="s">
        <v>36</v>
      </c>
      <c r="L12" t="s">
        <v>937</v>
      </c>
    </row>
    <row r="13" spans="1:14" hidden="1" x14ac:dyDescent="0.35">
      <c r="A13" s="2">
        <f t="shared" si="0"/>
        <v>12</v>
      </c>
      <c r="B13" s="2" t="s">
        <v>940</v>
      </c>
      <c r="C13" s="2">
        <v>2025</v>
      </c>
      <c r="D13" s="2">
        <v>3</v>
      </c>
      <c r="E13" s="2"/>
      <c r="F13" s="39" t="s">
        <v>277</v>
      </c>
      <c r="G13" s="2">
        <f>DAY(EOMONTH(Spare[[#This Row],[Date]], 0))</f>
        <v>30</v>
      </c>
      <c r="H13" s="40">
        <v>45831</v>
      </c>
      <c r="I13" t="s">
        <v>936</v>
      </c>
      <c r="J13" s="6">
        <v>470</v>
      </c>
      <c r="K13" t="s">
        <v>36</v>
      </c>
      <c r="L13" t="s">
        <v>937</v>
      </c>
    </row>
    <row r="14" spans="1:14" hidden="1" x14ac:dyDescent="0.35">
      <c r="A14" s="2">
        <f t="shared" si="0"/>
        <v>13</v>
      </c>
      <c r="B14" s="2" t="s">
        <v>940</v>
      </c>
      <c r="C14" s="2">
        <v>2025</v>
      </c>
      <c r="D14" s="2">
        <v>3</v>
      </c>
      <c r="E14" s="2"/>
      <c r="F14" s="39" t="s">
        <v>277</v>
      </c>
      <c r="G14" s="2">
        <f>DAY(EOMONTH(Spare[[#This Row],[Date]], 0))</f>
        <v>30</v>
      </c>
      <c r="H14" s="40">
        <v>45831</v>
      </c>
      <c r="I14" t="s">
        <v>941</v>
      </c>
      <c r="J14" s="6">
        <v>14</v>
      </c>
      <c r="K14" t="s">
        <v>36</v>
      </c>
      <c r="L14" t="s">
        <v>937</v>
      </c>
    </row>
    <row r="15" spans="1:14" hidden="1" x14ac:dyDescent="0.35">
      <c r="A15" s="2">
        <f t="shared" si="0"/>
        <v>14</v>
      </c>
      <c r="B15" s="2" t="s">
        <v>940</v>
      </c>
      <c r="C15" s="2">
        <v>2025</v>
      </c>
      <c r="D15" s="2">
        <v>3</v>
      </c>
      <c r="E15" s="2"/>
      <c r="F15" s="39" t="s">
        <v>277</v>
      </c>
      <c r="G15" s="2">
        <f>DAY(EOMONTH(Spare[[#This Row],[Date]], 0))</f>
        <v>30</v>
      </c>
      <c r="H15" s="40">
        <v>45831</v>
      </c>
      <c r="I15" t="s">
        <v>942</v>
      </c>
      <c r="J15" s="6">
        <v>5</v>
      </c>
      <c r="K15" t="s">
        <v>36</v>
      </c>
      <c r="L15" t="s">
        <v>937</v>
      </c>
    </row>
    <row r="16" spans="1:14" x14ac:dyDescent="0.35">
      <c r="A16" s="2">
        <f t="shared" si="0"/>
        <v>15</v>
      </c>
      <c r="B16" s="2" t="s">
        <v>940</v>
      </c>
      <c r="C16" s="2">
        <v>2025</v>
      </c>
      <c r="D16" s="2">
        <v>3</v>
      </c>
      <c r="E16" s="2"/>
      <c r="F16" s="39" t="s">
        <v>277</v>
      </c>
      <c r="G16" s="2">
        <f>DAY(EOMONTH(Spare[[#This Row],[Date]], 0))</f>
        <v>30</v>
      </c>
      <c r="H16" s="40">
        <v>45831</v>
      </c>
      <c r="I16" t="s">
        <v>943</v>
      </c>
      <c r="J16" s="6">
        <v>2</v>
      </c>
      <c r="K16" t="s">
        <v>36</v>
      </c>
      <c r="L16" t="s">
        <v>937</v>
      </c>
    </row>
    <row r="17" spans="1:12" hidden="1" x14ac:dyDescent="0.35">
      <c r="A17" s="2">
        <f t="shared" si="0"/>
        <v>16</v>
      </c>
      <c r="B17" s="2" t="s">
        <v>940</v>
      </c>
      <c r="C17" s="2">
        <v>2025</v>
      </c>
      <c r="D17" s="2">
        <v>3</v>
      </c>
      <c r="E17" s="2"/>
      <c r="F17" s="39" t="s">
        <v>277</v>
      </c>
      <c r="G17" s="2">
        <f>DAY(EOMONTH(Spare[[#This Row],[Date]], 0))</f>
        <v>30</v>
      </c>
      <c r="H17" s="40">
        <v>45832</v>
      </c>
      <c r="I17" t="s">
        <v>942</v>
      </c>
      <c r="J17" s="6">
        <v>6</v>
      </c>
      <c r="K17" t="s">
        <v>36</v>
      </c>
      <c r="L17" t="s">
        <v>937</v>
      </c>
    </row>
    <row r="18" spans="1:12" hidden="1" x14ac:dyDescent="0.35">
      <c r="A18" s="2">
        <f t="shared" si="0"/>
        <v>17</v>
      </c>
      <c r="B18" s="2" t="s">
        <v>940</v>
      </c>
      <c r="C18" s="2">
        <v>2025</v>
      </c>
      <c r="D18" s="2">
        <v>3</v>
      </c>
      <c r="E18" s="2"/>
      <c r="F18" s="39" t="s">
        <v>277</v>
      </c>
      <c r="G18" s="2">
        <f>DAY(EOMONTH(Spare[[#This Row],[Date]], 0))</f>
        <v>30</v>
      </c>
      <c r="H18" s="40">
        <v>45832</v>
      </c>
      <c r="I18" t="s">
        <v>936</v>
      </c>
      <c r="J18" s="6">
        <v>480</v>
      </c>
      <c r="K18" t="s">
        <v>36</v>
      </c>
      <c r="L18" t="s">
        <v>937</v>
      </c>
    </row>
    <row r="19" spans="1:12" hidden="1" x14ac:dyDescent="0.35">
      <c r="A19" s="2">
        <f t="shared" si="0"/>
        <v>18</v>
      </c>
      <c r="B19" s="2" t="s">
        <v>940</v>
      </c>
      <c r="C19" s="2">
        <v>2025</v>
      </c>
      <c r="D19" s="2">
        <v>3</v>
      </c>
      <c r="E19" s="2"/>
      <c r="F19" s="39" t="s">
        <v>277</v>
      </c>
      <c r="G19" s="2">
        <f>DAY(EOMONTH(Spare[[#This Row],[Date]], 0))</f>
        <v>30</v>
      </c>
      <c r="H19" s="40">
        <v>45832</v>
      </c>
      <c r="I19" t="s">
        <v>941</v>
      </c>
      <c r="J19" s="6">
        <v>10</v>
      </c>
      <c r="K19" t="s">
        <v>36</v>
      </c>
      <c r="L19" t="s">
        <v>937</v>
      </c>
    </row>
    <row r="20" spans="1:12" x14ac:dyDescent="0.35">
      <c r="A20" s="2">
        <f t="shared" si="0"/>
        <v>19</v>
      </c>
      <c r="B20" s="2" t="s">
        <v>940</v>
      </c>
      <c r="C20" s="2">
        <v>2025</v>
      </c>
      <c r="D20" s="2">
        <v>3</v>
      </c>
      <c r="E20" s="2"/>
      <c r="F20" s="39" t="s">
        <v>277</v>
      </c>
      <c r="G20" s="2">
        <f>DAY(EOMONTH(Spare[[#This Row],[Date]], 0))</f>
        <v>30</v>
      </c>
      <c r="H20" s="40">
        <v>45832</v>
      </c>
      <c r="I20" t="s">
        <v>943</v>
      </c>
      <c r="J20" s="6">
        <v>2</v>
      </c>
      <c r="K20" t="s">
        <v>36</v>
      </c>
      <c r="L20" t="s">
        <v>937</v>
      </c>
    </row>
    <row r="21" spans="1:12" hidden="1" x14ac:dyDescent="0.35">
      <c r="A21" s="2">
        <f t="shared" si="0"/>
        <v>20</v>
      </c>
      <c r="B21" s="2" t="s">
        <v>940</v>
      </c>
      <c r="C21" s="2">
        <v>2025</v>
      </c>
      <c r="D21" s="2">
        <v>3</v>
      </c>
      <c r="E21" s="2"/>
      <c r="F21" s="39" t="s">
        <v>277</v>
      </c>
      <c r="G21" s="2">
        <f>DAY(EOMONTH(Spare[[#This Row],[Date]], 0))</f>
        <v>30</v>
      </c>
      <c r="H21" s="40">
        <v>45833</v>
      </c>
      <c r="I21" t="s">
        <v>941</v>
      </c>
      <c r="J21" s="6">
        <v>10</v>
      </c>
      <c r="K21" t="s">
        <v>36</v>
      </c>
      <c r="L21" t="s">
        <v>937</v>
      </c>
    </row>
    <row r="22" spans="1:12" hidden="1" x14ac:dyDescent="0.35">
      <c r="A22" s="2">
        <f t="shared" si="0"/>
        <v>21</v>
      </c>
      <c r="B22" s="2" t="s">
        <v>940</v>
      </c>
      <c r="C22" s="2">
        <v>2025</v>
      </c>
      <c r="D22" s="2">
        <v>3</v>
      </c>
      <c r="E22" s="2"/>
      <c r="F22" s="39" t="s">
        <v>277</v>
      </c>
      <c r="G22" s="2">
        <f>DAY(EOMONTH(Spare[[#This Row],[Date]], 0))</f>
        <v>30</v>
      </c>
      <c r="H22" s="40">
        <v>45833</v>
      </c>
      <c r="I22" t="s">
        <v>942</v>
      </c>
      <c r="J22" s="6">
        <v>5</v>
      </c>
      <c r="K22" t="s">
        <v>36</v>
      </c>
      <c r="L22" t="s">
        <v>937</v>
      </c>
    </row>
    <row r="23" spans="1:12" x14ac:dyDescent="0.35">
      <c r="A23" s="2">
        <f t="shared" si="0"/>
        <v>22</v>
      </c>
      <c r="B23" s="2" t="s">
        <v>940</v>
      </c>
      <c r="C23" s="2">
        <v>2025</v>
      </c>
      <c r="D23" s="2">
        <v>3</v>
      </c>
      <c r="E23" s="2"/>
      <c r="F23" s="39" t="s">
        <v>277</v>
      </c>
      <c r="G23" s="2">
        <f>DAY(EOMONTH(Spare[[#This Row],[Date]], 0))</f>
        <v>30</v>
      </c>
      <c r="H23" s="40">
        <v>45833</v>
      </c>
      <c r="I23" t="s">
        <v>943</v>
      </c>
      <c r="J23" s="6">
        <v>2</v>
      </c>
      <c r="K23" t="s">
        <v>36</v>
      </c>
      <c r="L23" t="s">
        <v>937</v>
      </c>
    </row>
    <row r="24" spans="1:12" hidden="1" x14ac:dyDescent="0.35">
      <c r="A24" s="2">
        <f t="shared" si="0"/>
        <v>23</v>
      </c>
      <c r="B24" s="2" t="s">
        <v>940</v>
      </c>
      <c r="C24" s="2">
        <v>2025</v>
      </c>
      <c r="D24" s="2">
        <v>3</v>
      </c>
      <c r="E24" s="2"/>
      <c r="F24" s="39" t="s">
        <v>277</v>
      </c>
      <c r="G24" s="2">
        <f>DAY(EOMONTH(Spare[[#This Row],[Date]], 0))</f>
        <v>30</v>
      </c>
      <c r="H24" s="40">
        <v>45833</v>
      </c>
      <c r="I24" t="s">
        <v>936</v>
      </c>
      <c r="J24" s="6">
        <v>382</v>
      </c>
      <c r="K24" t="s">
        <v>36</v>
      </c>
      <c r="L24" t="s">
        <v>937</v>
      </c>
    </row>
    <row r="25" spans="1:12" x14ac:dyDescent="0.35">
      <c r="A25" s="2">
        <f t="shared" si="0"/>
        <v>24</v>
      </c>
      <c r="B25" s="2" t="s">
        <v>940</v>
      </c>
      <c r="C25" s="2">
        <v>2025</v>
      </c>
      <c r="D25" s="2">
        <v>3</v>
      </c>
      <c r="E25" s="2"/>
      <c r="F25" s="39" t="s">
        <v>277</v>
      </c>
      <c r="G25" s="2">
        <f>DAY(EOMONTH(Spare[[#This Row],[Date]], 0))</f>
        <v>30</v>
      </c>
      <c r="H25" s="40">
        <v>45834</v>
      </c>
      <c r="I25" t="s">
        <v>943</v>
      </c>
      <c r="J25" s="6">
        <v>2</v>
      </c>
      <c r="K25" t="s">
        <v>36</v>
      </c>
      <c r="L25" t="s">
        <v>937</v>
      </c>
    </row>
    <row r="26" spans="1:12" x14ac:dyDescent="0.35">
      <c r="A26" s="2">
        <f t="shared" si="0"/>
        <v>25</v>
      </c>
      <c r="B26" s="2" t="s">
        <v>940</v>
      </c>
      <c r="C26" s="2">
        <v>2025</v>
      </c>
      <c r="D26" s="2">
        <v>3</v>
      </c>
      <c r="E26" s="2"/>
      <c r="F26" s="39" t="s">
        <v>277</v>
      </c>
      <c r="G26" s="2">
        <f>DAY(EOMONTH(Spare[[#This Row],[Date]], 0))</f>
        <v>30</v>
      </c>
      <c r="H26" s="40">
        <v>45836</v>
      </c>
      <c r="I26" t="s">
        <v>943</v>
      </c>
      <c r="J26" s="6">
        <v>2</v>
      </c>
      <c r="K26" t="s">
        <v>36</v>
      </c>
      <c r="L26" t="s">
        <v>937</v>
      </c>
    </row>
    <row r="27" spans="1:12" hidden="1" x14ac:dyDescent="0.35">
      <c r="A27" s="2">
        <f t="shared" si="0"/>
        <v>26</v>
      </c>
      <c r="B27" s="2" t="s">
        <v>940</v>
      </c>
      <c r="C27" s="2">
        <v>2025</v>
      </c>
      <c r="D27" s="2">
        <v>3</v>
      </c>
      <c r="E27" s="2"/>
      <c r="F27" s="39" t="s">
        <v>277</v>
      </c>
      <c r="G27" s="2">
        <f>DAY(EOMONTH(Spare[[#This Row],[Date]], 0))</f>
        <v>30</v>
      </c>
      <c r="H27" s="40">
        <v>45836</v>
      </c>
      <c r="I27" t="s">
        <v>942</v>
      </c>
      <c r="J27" s="6">
        <v>8</v>
      </c>
      <c r="K27" t="s">
        <v>36</v>
      </c>
      <c r="L27" t="s">
        <v>937</v>
      </c>
    </row>
    <row r="28" spans="1:12" hidden="1" x14ac:dyDescent="0.35">
      <c r="A28" s="2">
        <f t="shared" si="0"/>
        <v>27</v>
      </c>
      <c r="B28" s="2" t="s">
        <v>940</v>
      </c>
      <c r="C28" s="2">
        <v>2025</v>
      </c>
      <c r="D28" s="2">
        <v>3</v>
      </c>
      <c r="E28" s="2"/>
      <c r="F28" s="39" t="s">
        <v>277</v>
      </c>
      <c r="G28" s="2">
        <f>DAY(EOMONTH(Spare[[#This Row],[Date]], 0))</f>
        <v>30</v>
      </c>
      <c r="H28" s="40">
        <v>45836</v>
      </c>
      <c r="I28" t="s">
        <v>936</v>
      </c>
      <c r="J28" s="6">
        <v>410</v>
      </c>
      <c r="K28" t="s">
        <v>36</v>
      </c>
      <c r="L28" t="s">
        <v>937</v>
      </c>
    </row>
    <row r="29" spans="1:12" hidden="1" x14ac:dyDescent="0.35">
      <c r="A29" s="2">
        <f t="shared" si="0"/>
        <v>28</v>
      </c>
      <c r="B29" s="2" t="s">
        <v>940</v>
      </c>
      <c r="C29" s="2">
        <v>2025</v>
      </c>
      <c r="D29" s="2">
        <v>3</v>
      </c>
      <c r="E29" s="2"/>
      <c r="F29" s="39" t="s">
        <v>277</v>
      </c>
      <c r="G29" s="2">
        <f>DAY(EOMONTH(Spare[[#This Row],[Date]], 0))</f>
        <v>30</v>
      </c>
      <c r="H29" s="40">
        <v>45836</v>
      </c>
      <c r="I29" t="s">
        <v>941</v>
      </c>
      <c r="J29" s="6">
        <v>10</v>
      </c>
      <c r="K29" t="s">
        <v>36</v>
      </c>
      <c r="L29" t="s">
        <v>937</v>
      </c>
    </row>
    <row r="30" spans="1:12" hidden="1" x14ac:dyDescent="0.35">
      <c r="A30" s="2">
        <f t="shared" si="0"/>
        <v>29</v>
      </c>
      <c r="B30" s="2" t="s">
        <v>940</v>
      </c>
      <c r="C30" s="2">
        <v>2025</v>
      </c>
      <c r="D30" s="2">
        <v>3</v>
      </c>
      <c r="E30" s="2"/>
      <c r="F30" s="39" t="s">
        <v>277</v>
      </c>
      <c r="G30" s="2">
        <f>DAY(EOMONTH(Spare[[#This Row],[Date]], 0))</f>
        <v>30</v>
      </c>
      <c r="H30" s="40">
        <v>45838</v>
      </c>
      <c r="I30" t="s">
        <v>941</v>
      </c>
      <c r="J30" s="6">
        <v>12</v>
      </c>
      <c r="K30" t="s">
        <v>36</v>
      </c>
      <c r="L30" t="s">
        <v>937</v>
      </c>
    </row>
    <row r="31" spans="1:12" hidden="1" x14ac:dyDescent="0.35">
      <c r="A31" s="2">
        <f t="shared" si="0"/>
        <v>30</v>
      </c>
      <c r="B31" s="2" t="s">
        <v>940</v>
      </c>
      <c r="C31" s="2">
        <v>2025</v>
      </c>
      <c r="D31" s="2">
        <v>3</v>
      </c>
      <c r="E31" s="2"/>
      <c r="F31" s="39" t="s">
        <v>277</v>
      </c>
      <c r="G31" s="2">
        <f>DAY(EOMONTH(Spare[[#This Row],[Date]], 0))</f>
        <v>30</v>
      </c>
      <c r="H31" s="40">
        <v>45838</v>
      </c>
      <c r="I31" t="s">
        <v>942</v>
      </c>
      <c r="J31" s="6">
        <v>5</v>
      </c>
      <c r="K31" t="s">
        <v>36</v>
      </c>
      <c r="L31" t="s">
        <v>937</v>
      </c>
    </row>
    <row r="32" spans="1:12" hidden="1" x14ac:dyDescent="0.35">
      <c r="A32" s="2">
        <f t="shared" si="0"/>
        <v>31</v>
      </c>
      <c r="B32" s="2" t="s">
        <v>940</v>
      </c>
      <c r="C32" s="2">
        <v>2025</v>
      </c>
      <c r="D32" s="2">
        <v>3</v>
      </c>
      <c r="E32" s="2"/>
      <c r="F32" s="39" t="s">
        <v>277</v>
      </c>
      <c r="G32" s="2">
        <f>DAY(EOMONTH(Spare[[#This Row],[Date]], 0))</f>
        <v>30</v>
      </c>
      <c r="H32" s="40">
        <v>45838</v>
      </c>
      <c r="I32" t="s">
        <v>936</v>
      </c>
      <c r="J32" s="6">
        <v>460</v>
      </c>
      <c r="K32" t="s">
        <v>36</v>
      </c>
      <c r="L32" t="s">
        <v>937</v>
      </c>
    </row>
    <row r="33" spans="1:12" hidden="1" x14ac:dyDescent="0.35">
      <c r="A33" s="2">
        <f t="shared" si="0"/>
        <v>32</v>
      </c>
      <c r="B33" s="2" t="s">
        <v>940</v>
      </c>
      <c r="C33" s="2">
        <v>2025</v>
      </c>
      <c r="D33" s="2">
        <v>3</v>
      </c>
      <c r="E33" s="2"/>
      <c r="F33" s="39" t="s">
        <v>277</v>
      </c>
      <c r="G33" s="2">
        <f>DAY(EOMONTH(Spare[[#This Row],[Date]], 0))</f>
        <v>31</v>
      </c>
      <c r="H33" s="40">
        <v>45839</v>
      </c>
      <c r="I33" t="s">
        <v>936</v>
      </c>
      <c r="J33" s="6">
        <v>46</v>
      </c>
      <c r="K33" t="s">
        <v>36</v>
      </c>
      <c r="L33" t="s">
        <v>937</v>
      </c>
    </row>
    <row r="34" spans="1:12" hidden="1" x14ac:dyDescent="0.35">
      <c r="A34" s="2">
        <f t="shared" si="0"/>
        <v>33</v>
      </c>
      <c r="B34" s="2" t="s">
        <v>940</v>
      </c>
      <c r="C34" s="2">
        <v>2025</v>
      </c>
      <c r="D34" s="2">
        <v>3</v>
      </c>
      <c r="E34" s="2"/>
      <c r="F34" s="39" t="s">
        <v>282</v>
      </c>
      <c r="G34" s="2">
        <f>DAY(EOMONTH(Spare[[#This Row],[Date]], 0))</f>
        <v>31</v>
      </c>
      <c r="H34" s="40">
        <v>45839</v>
      </c>
      <c r="I34" t="s">
        <v>941</v>
      </c>
      <c r="J34" s="6">
        <v>2</v>
      </c>
      <c r="K34" t="s">
        <v>36</v>
      </c>
      <c r="L34" t="s">
        <v>937</v>
      </c>
    </row>
    <row r="35" spans="1:12" hidden="1" x14ac:dyDescent="0.35">
      <c r="A35" s="2">
        <f t="shared" si="0"/>
        <v>34</v>
      </c>
      <c r="B35" s="2" t="s">
        <v>940</v>
      </c>
      <c r="C35" s="2">
        <v>2025</v>
      </c>
      <c r="D35" s="2">
        <v>3</v>
      </c>
      <c r="E35" s="2"/>
      <c r="F35" s="39" t="s">
        <v>282</v>
      </c>
      <c r="G35" s="2">
        <f>DAY(EOMONTH(Spare[[#This Row],[Date]], 0))</f>
        <v>31</v>
      </c>
      <c r="H35" s="40">
        <v>45840</v>
      </c>
      <c r="I35" t="s">
        <v>941</v>
      </c>
      <c r="J35" s="6">
        <v>8</v>
      </c>
      <c r="K35" t="s">
        <v>36</v>
      </c>
      <c r="L35" t="s">
        <v>937</v>
      </c>
    </row>
    <row r="36" spans="1:12" hidden="1" x14ac:dyDescent="0.35">
      <c r="A36" s="2">
        <f t="shared" si="0"/>
        <v>35</v>
      </c>
      <c r="B36" s="2" t="s">
        <v>940</v>
      </c>
      <c r="C36" s="2">
        <v>2025</v>
      </c>
      <c r="D36" s="2">
        <v>3</v>
      </c>
      <c r="E36" s="2"/>
      <c r="F36" s="39" t="s">
        <v>282</v>
      </c>
      <c r="G36" s="2">
        <f>DAY(EOMONTH(Spare[[#This Row],[Date]], 0))</f>
        <v>31</v>
      </c>
      <c r="H36" s="40">
        <v>45840</v>
      </c>
      <c r="I36" t="s">
        <v>936</v>
      </c>
      <c r="J36" s="6">
        <v>320</v>
      </c>
      <c r="K36" t="s">
        <v>36</v>
      </c>
      <c r="L36" t="s">
        <v>937</v>
      </c>
    </row>
    <row r="37" spans="1:12" hidden="1" x14ac:dyDescent="0.35">
      <c r="A37" s="2">
        <f t="shared" si="0"/>
        <v>36</v>
      </c>
      <c r="B37" s="2" t="s">
        <v>940</v>
      </c>
      <c r="C37" s="2">
        <v>2025</v>
      </c>
      <c r="D37" s="2">
        <v>3</v>
      </c>
      <c r="E37" s="2"/>
      <c r="F37" s="39" t="s">
        <v>282</v>
      </c>
      <c r="G37" s="2">
        <f>DAY(EOMONTH(Spare[[#This Row],[Date]], 0))</f>
        <v>31</v>
      </c>
      <c r="H37" s="40">
        <v>45840</v>
      </c>
      <c r="I37" t="s">
        <v>942</v>
      </c>
      <c r="J37" s="6">
        <v>2</v>
      </c>
      <c r="K37" t="s">
        <v>36</v>
      </c>
      <c r="L37" t="s">
        <v>937</v>
      </c>
    </row>
    <row r="38" spans="1:12" hidden="1" x14ac:dyDescent="0.35">
      <c r="A38" s="2">
        <f t="shared" si="0"/>
        <v>37</v>
      </c>
      <c r="B38" s="2" t="s">
        <v>940</v>
      </c>
      <c r="C38" s="2">
        <v>2025</v>
      </c>
      <c r="D38" s="2">
        <v>3</v>
      </c>
      <c r="E38" s="2"/>
      <c r="F38" s="39" t="s">
        <v>282</v>
      </c>
      <c r="G38" s="2">
        <f>DAY(EOMONTH(Spare[[#This Row],[Date]], 0))</f>
        <v>31</v>
      </c>
      <c r="H38" s="40">
        <v>45847</v>
      </c>
      <c r="I38" t="s">
        <v>941</v>
      </c>
      <c r="J38" s="6">
        <v>10</v>
      </c>
      <c r="K38" t="s">
        <v>36</v>
      </c>
      <c r="L38" t="s">
        <v>937</v>
      </c>
    </row>
    <row r="39" spans="1:12" hidden="1" x14ac:dyDescent="0.35">
      <c r="A39" s="2">
        <f t="shared" si="0"/>
        <v>38</v>
      </c>
      <c r="B39" s="2" t="s">
        <v>940</v>
      </c>
      <c r="C39" s="2">
        <v>2025</v>
      </c>
      <c r="D39" s="2">
        <v>3</v>
      </c>
      <c r="E39" s="2"/>
      <c r="F39" s="39" t="s">
        <v>282</v>
      </c>
      <c r="G39" s="2">
        <f>DAY(EOMONTH(Spare[[#This Row],[Date]], 0))</f>
        <v>31</v>
      </c>
      <c r="H39" s="40">
        <v>45847</v>
      </c>
      <c r="I39" t="s">
        <v>936</v>
      </c>
      <c r="J39" s="6">
        <v>460</v>
      </c>
      <c r="K39" t="s">
        <v>36</v>
      </c>
      <c r="L39" t="s">
        <v>937</v>
      </c>
    </row>
    <row r="40" spans="1:12" hidden="1" x14ac:dyDescent="0.35">
      <c r="A40" s="2">
        <f t="shared" si="0"/>
        <v>39</v>
      </c>
      <c r="B40" s="2" t="s">
        <v>940</v>
      </c>
      <c r="C40" s="2">
        <v>2025</v>
      </c>
      <c r="D40" s="2">
        <v>3</v>
      </c>
      <c r="E40" s="2"/>
      <c r="F40" s="39" t="s">
        <v>282</v>
      </c>
      <c r="G40" s="2">
        <f>DAY(EOMONTH(Spare[[#This Row],[Date]], 0))</f>
        <v>31</v>
      </c>
      <c r="H40" s="40">
        <v>45847</v>
      </c>
      <c r="I40" t="s">
        <v>942</v>
      </c>
      <c r="J40" s="6">
        <v>6</v>
      </c>
      <c r="K40" t="s">
        <v>36</v>
      </c>
      <c r="L40" t="s">
        <v>937</v>
      </c>
    </row>
    <row r="41" spans="1:12" hidden="1" x14ac:dyDescent="0.35">
      <c r="A41" s="2">
        <f t="shared" si="0"/>
        <v>40</v>
      </c>
      <c r="B41" s="2" t="s">
        <v>940</v>
      </c>
      <c r="C41" s="2">
        <v>2025</v>
      </c>
      <c r="D41" s="2">
        <v>3</v>
      </c>
      <c r="E41" s="2"/>
      <c r="F41" s="39" t="s">
        <v>282</v>
      </c>
      <c r="G41" s="2">
        <f>DAY(EOMONTH(Spare[[#This Row],[Date]], 0))</f>
        <v>31</v>
      </c>
      <c r="H41" s="40">
        <v>45850</v>
      </c>
      <c r="I41" t="s">
        <v>941</v>
      </c>
      <c r="J41" s="6">
        <v>2</v>
      </c>
      <c r="K41" t="s">
        <v>36</v>
      </c>
      <c r="L41" t="s">
        <v>937</v>
      </c>
    </row>
    <row r="42" spans="1:12" hidden="1" x14ac:dyDescent="0.35">
      <c r="A42" s="2">
        <f t="shared" si="0"/>
        <v>41</v>
      </c>
      <c r="B42" s="2" t="s">
        <v>940</v>
      </c>
      <c r="C42" s="2">
        <v>2025</v>
      </c>
      <c r="D42" s="2">
        <v>3</v>
      </c>
      <c r="E42" s="2"/>
      <c r="F42" s="39" t="s">
        <v>282</v>
      </c>
      <c r="G42" s="2">
        <f>DAY(EOMONTH(Spare[[#This Row],[Date]], 0))</f>
        <v>31</v>
      </c>
      <c r="H42" s="40">
        <v>45850</v>
      </c>
      <c r="I42" t="s">
        <v>936</v>
      </c>
      <c r="J42" s="6">
        <v>30</v>
      </c>
      <c r="K42" t="s">
        <v>36</v>
      </c>
      <c r="L42" t="s">
        <v>937</v>
      </c>
    </row>
    <row r="43" spans="1:12" hidden="1" x14ac:dyDescent="0.35">
      <c r="A43" s="2">
        <f t="shared" si="0"/>
        <v>42</v>
      </c>
      <c r="B43" s="2" t="s">
        <v>940</v>
      </c>
      <c r="C43" s="2">
        <v>2025</v>
      </c>
      <c r="D43" s="2">
        <v>3</v>
      </c>
      <c r="E43" s="2"/>
      <c r="F43" s="39" t="s">
        <v>282</v>
      </c>
      <c r="G43" s="2">
        <f>DAY(EOMONTH(Spare[[#This Row],[Date]], 0))</f>
        <v>31</v>
      </c>
      <c r="H43" s="40">
        <v>45851</v>
      </c>
      <c r="I43" t="s">
        <v>942</v>
      </c>
      <c r="J43" s="6">
        <v>4</v>
      </c>
      <c r="K43" t="s">
        <v>36</v>
      </c>
      <c r="L43" t="s">
        <v>937</v>
      </c>
    </row>
    <row r="44" spans="1:12" hidden="1" x14ac:dyDescent="0.35">
      <c r="A44" s="2">
        <f t="shared" si="0"/>
        <v>43</v>
      </c>
      <c r="B44" s="2" t="s">
        <v>940</v>
      </c>
      <c r="C44" s="2">
        <v>2025</v>
      </c>
      <c r="D44" s="2">
        <v>3</v>
      </c>
      <c r="E44" s="2"/>
      <c r="F44" s="39" t="s">
        <v>282</v>
      </c>
      <c r="G44" s="2">
        <f>DAY(EOMONTH(Spare[[#This Row],[Date]], 0))</f>
        <v>31</v>
      </c>
      <c r="H44" s="40">
        <v>45851</v>
      </c>
      <c r="I44" t="s">
        <v>941</v>
      </c>
      <c r="J44" s="6">
        <v>5</v>
      </c>
      <c r="K44" t="s">
        <v>36</v>
      </c>
      <c r="L44" t="s">
        <v>937</v>
      </c>
    </row>
    <row r="45" spans="1:12" hidden="1" x14ac:dyDescent="0.35">
      <c r="A45" s="2">
        <f t="shared" si="0"/>
        <v>44</v>
      </c>
      <c r="B45" s="2" t="s">
        <v>940</v>
      </c>
      <c r="C45" s="2">
        <v>2025</v>
      </c>
      <c r="D45" s="2">
        <v>3</v>
      </c>
      <c r="E45" s="2"/>
      <c r="F45" s="39" t="s">
        <v>282</v>
      </c>
      <c r="G45" s="2">
        <f>DAY(EOMONTH(Spare[[#This Row],[Date]], 0))</f>
        <v>31</v>
      </c>
      <c r="H45" s="40">
        <v>45851</v>
      </c>
      <c r="I45" t="s">
        <v>936</v>
      </c>
      <c r="J45" s="6">
        <v>390</v>
      </c>
      <c r="K45" t="s">
        <v>36</v>
      </c>
      <c r="L45" t="s">
        <v>937</v>
      </c>
    </row>
    <row r="46" spans="1:12" x14ac:dyDescent="0.35">
      <c r="A46" s="2">
        <f t="shared" si="0"/>
        <v>45</v>
      </c>
      <c r="B46" s="2" t="s">
        <v>940</v>
      </c>
      <c r="C46" s="2">
        <v>2025</v>
      </c>
      <c r="D46" s="2">
        <v>3</v>
      </c>
      <c r="E46" s="2"/>
      <c r="F46" s="39" t="s">
        <v>282</v>
      </c>
      <c r="G46" s="2">
        <f>DAY(EOMONTH(Spare[[#This Row],[Date]], 0))</f>
        <v>31</v>
      </c>
      <c r="H46" s="40">
        <v>45852</v>
      </c>
      <c r="I46" t="s">
        <v>943</v>
      </c>
      <c r="J46" s="6">
        <v>3</v>
      </c>
      <c r="K46" t="s">
        <v>36</v>
      </c>
      <c r="L46" t="s">
        <v>937</v>
      </c>
    </row>
    <row r="47" spans="1:12" x14ac:dyDescent="0.35">
      <c r="A47" s="2">
        <f t="shared" si="0"/>
        <v>46</v>
      </c>
      <c r="B47" s="2" t="s">
        <v>940</v>
      </c>
      <c r="C47" s="2">
        <v>2025</v>
      </c>
      <c r="D47" s="2">
        <v>3</v>
      </c>
      <c r="E47" s="2"/>
      <c r="F47" s="39" t="s">
        <v>282</v>
      </c>
      <c r="G47" s="2">
        <f>DAY(EOMONTH(Spare[[#This Row],[Date]], 0))</f>
        <v>31</v>
      </c>
      <c r="H47" s="40">
        <v>45852</v>
      </c>
      <c r="I47" t="s">
        <v>942</v>
      </c>
      <c r="J47" s="6">
        <v>10</v>
      </c>
      <c r="K47" t="s">
        <v>36</v>
      </c>
      <c r="L47" t="s">
        <v>937</v>
      </c>
    </row>
    <row r="48" spans="1:12" x14ac:dyDescent="0.35">
      <c r="A48" s="2">
        <f t="shared" si="0"/>
        <v>47</v>
      </c>
      <c r="B48" s="2" t="s">
        <v>940</v>
      </c>
      <c r="C48" s="2">
        <v>2025</v>
      </c>
      <c r="D48" s="2">
        <v>3</v>
      </c>
      <c r="E48" s="2"/>
      <c r="F48" s="39" t="s">
        <v>282</v>
      </c>
      <c r="G48" s="2">
        <f>DAY(EOMONTH(Spare[[#This Row],[Date]], 0))</f>
        <v>31</v>
      </c>
      <c r="H48" s="40">
        <v>45852</v>
      </c>
      <c r="I48" t="s">
        <v>941</v>
      </c>
      <c r="J48" s="6">
        <v>12</v>
      </c>
      <c r="K48" t="s">
        <v>36</v>
      </c>
      <c r="L48" t="s">
        <v>937</v>
      </c>
    </row>
    <row r="49" spans="1:12" x14ac:dyDescent="0.35">
      <c r="A49" s="2">
        <f t="shared" si="0"/>
        <v>48</v>
      </c>
      <c r="B49" s="2" t="s">
        <v>940</v>
      </c>
      <c r="C49" s="2">
        <v>2025</v>
      </c>
      <c r="D49" s="2">
        <v>3</v>
      </c>
      <c r="E49" s="2"/>
      <c r="F49" s="39" t="s">
        <v>282</v>
      </c>
      <c r="G49" s="2">
        <f>DAY(EOMONTH(Spare[[#This Row],[Date]], 0))</f>
        <v>31</v>
      </c>
      <c r="H49" s="40">
        <v>45852</v>
      </c>
      <c r="I49" t="s">
        <v>936</v>
      </c>
      <c r="J49" s="6">
        <v>430</v>
      </c>
      <c r="K49" t="s">
        <v>36</v>
      </c>
      <c r="L49" t="s">
        <v>937</v>
      </c>
    </row>
    <row r="50" spans="1:12" x14ac:dyDescent="0.35">
      <c r="A50" s="2">
        <f t="shared" si="0"/>
        <v>49</v>
      </c>
      <c r="B50" s="2" t="s">
        <v>940</v>
      </c>
      <c r="C50" s="2">
        <v>2025</v>
      </c>
      <c r="D50" s="2">
        <v>3</v>
      </c>
      <c r="E50" s="2"/>
      <c r="F50" s="39" t="s">
        <v>282</v>
      </c>
      <c r="G50" s="2">
        <f>DAY(EOMONTH(Spare[[#This Row],[Date]], 0))</f>
        <v>31</v>
      </c>
      <c r="H50" s="40">
        <v>45855</v>
      </c>
      <c r="I50" t="s">
        <v>943</v>
      </c>
      <c r="J50" s="6">
        <v>8</v>
      </c>
      <c r="K50" t="s">
        <v>36</v>
      </c>
      <c r="L50" t="s">
        <v>937</v>
      </c>
    </row>
    <row r="51" spans="1:12" x14ac:dyDescent="0.35">
      <c r="A51" s="2">
        <f t="shared" si="0"/>
        <v>50</v>
      </c>
      <c r="B51" s="2" t="s">
        <v>940</v>
      </c>
      <c r="C51" s="2">
        <v>2025</v>
      </c>
      <c r="D51" s="2">
        <v>3</v>
      </c>
      <c r="E51" s="2"/>
      <c r="F51" s="39" t="s">
        <v>282</v>
      </c>
      <c r="G51" s="2">
        <f>DAY(EOMONTH(Spare[[#This Row],[Date]], 0))</f>
        <v>31</v>
      </c>
      <c r="H51" s="40">
        <v>45855</v>
      </c>
      <c r="I51" t="s">
        <v>942</v>
      </c>
      <c r="J51" s="6">
        <v>12</v>
      </c>
      <c r="K51" t="s">
        <v>36</v>
      </c>
      <c r="L51" t="s">
        <v>937</v>
      </c>
    </row>
    <row r="52" spans="1:12" x14ac:dyDescent="0.35">
      <c r="A52" s="2">
        <f t="shared" si="0"/>
        <v>51</v>
      </c>
      <c r="B52" s="2" t="s">
        <v>940</v>
      </c>
      <c r="C52" s="2">
        <v>2025</v>
      </c>
      <c r="D52" s="2">
        <v>3</v>
      </c>
      <c r="E52" s="2"/>
      <c r="F52" s="39" t="s">
        <v>282</v>
      </c>
      <c r="G52" s="2">
        <f>DAY(EOMONTH(Spare[[#This Row],[Date]], 0))</f>
        <v>31</v>
      </c>
      <c r="H52" s="40">
        <v>45855</v>
      </c>
      <c r="I52" t="s">
        <v>941</v>
      </c>
      <c r="J52" s="6">
        <v>16</v>
      </c>
      <c r="K52" t="s">
        <v>36</v>
      </c>
      <c r="L52" t="s">
        <v>937</v>
      </c>
    </row>
    <row r="53" spans="1:12" x14ac:dyDescent="0.35">
      <c r="A53" s="2">
        <f t="shared" si="0"/>
        <v>52</v>
      </c>
      <c r="B53" s="2" t="s">
        <v>940</v>
      </c>
      <c r="C53" s="2">
        <v>2025</v>
      </c>
      <c r="D53" s="2">
        <v>3</v>
      </c>
      <c r="E53" s="2"/>
      <c r="F53" s="39" t="s">
        <v>282</v>
      </c>
      <c r="G53" s="2">
        <f>DAY(EOMONTH(Spare[[#This Row],[Date]], 0))</f>
        <v>31</v>
      </c>
      <c r="H53" s="40">
        <v>45855</v>
      </c>
      <c r="I53" t="s">
        <v>936</v>
      </c>
      <c r="J53" s="6">
        <v>680</v>
      </c>
      <c r="K53" t="s">
        <v>36</v>
      </c>
      <c r="L53" t="s">
        <v>937</v>
      </c>
    </row>
    <row r="54" spans="1:12" x14ac:dyDescent="0.35">
      <c r="A54" s="2">
        <f t="shared" si="0"/>
        <v>53</v>
      </c>
      <c r="B54" s="2" t="s">
        <v>940</v>
      </c>
      <c r="C54" s="2">
        <v>2025</v>
      </c>
      <c r="D54" s="2">
        <v>3</v>
      </c>
      <c r="E54" s="2"/>
      <c r="F54" s="39" t="s">
        <v>282</v>
      </c>
      <c r="G54" s="2">
        <f>DAY(EOMONTH(Spare[[#This Row],[Date]], 0))</f>
        <v>31</v>
      </c>
      <c r="H54" s="40">
        <v>45857</v>
      </c>
      <c r="I54" t="s">
        <v>943</v>
      </c>
      <c r="J54" s="6">
        <v>4</v>
      </c>
      <c r="K54" t="s">
        <v>36</v>
      </c>
      <c r="L54" t="s">
        <v>937</v>
      </c>
    </row>
    <row r="55" spans="1:12" x14ac:dyDescent="0.35">
      <c r="A55" s="2">
        <f t="shared" si="0"/>
        <v>54</v>
      </c>
      <c r="B55" s="2" t="s">
        <v>940</v>
      </c>
      <c r="C55" s="2">
        <v>2025</v>
      </c>
      <c r="D55" s="2">
        <v>3</v>
      </c>
      <c r="E55" s="2"/>
      <c r="F55" s="39" t="s">
        <v>282</v>
      </c>
      <c r="G55" s="2">
        <f>DAY(EOMONTH(Spare[[#This Row],[Date]], 0))</f>
        <v>31</v>
      </c>
      <c r="H55" s="40">
        <v>45857</v>
      </c>
      <c r="I55" t="s">
        <v>942</v>
      </c>
      <c r="J55" s="6">
        <v>2</v>
      </c>
      <c r="K55" t="s">
        <v>36</v>
      </c>
      <c r="L55" t="s">
        <v>937</v>
      </c>
    </row>
    <row r="56" spans="1:12" x14ac:dyDescent="0.35">
      <c r="A56" s="2">
        <f t="shared" si="0"/>
        <v>55</v>
      </c>
      <c r="B56" s="2" t="s">
        <v>940</v>
      </c>
      <c r="C56" s="2">
        <v>2025</v>
      </c>
      <c r="D56" s="2">
        <v>3</v>
      </c>
      <c r="E56" s="2"/>
      <c r="F56" s="39" t="s">
        <v>282</v>
      </c>
      <c r="G56" s="2">
        <f>DAY(EOMONTH(Spare[[#This Row],[Date]], 0))</f>
        <v>31</v>
      </c>
      <c r="H56" s="40">
        <v>45857</v>
      </c>
      <c r="I56" t="s">
        <v>941</v>
      </c>
      <c r="J56" s="6">
        <v>1</v>
      </c>
      <c r="K56" t="s">
        <v>36</v>
      </c>
      <c r="L56" t="s">
        <v>937</v>
      </c>
    </row>
    <row r="57" spans="1:12" x14ac:dyDescent="0.35">
      <c r="A57" s="2">
        <f t="shared" si="0"/>
        <v>56</v>
      </c>
      <c r="B57" s="2" t="s">
        <v>940</v>
      </c>
      <c r="C57" s="2">
        <v>2025</v>
      </c>
      <c r="D57" s="2">
        <v>3</v>
      </c>
      <c r="E57" s="2"/>
      <c r="F57" s="39" t="s">
        <v>282</v>
      </c>
      <c r="G57" s="2">
        <f>DAY(EOMONTH(Spare[[#This Row],[Date]], 0))</f>
        <v>31</v>
      </c>
      <c r="H57" s="40">
        <v>45859</v>
      </c>
      <c r="I57" t="s">
        <v>936</v>
      </c>
      <c r="J57" s="6">
        <v>560</v>
      </c>
      <c r="K57" t="s">
        <v>36</v>
      </c>
      <c r="L57" t="s">
        <v>937</v>
      </c>
    </row>
    <row r="58" spans="1:12" x14ac:dyDescent="0.35">
      <c r="A58" s="2">
        <f t="shared" si="0"/>
        <v>57</v>
      </c>
      <c r="B58" s="2" t="s">
        <v>940</v>
      </c>
      <c r="C58" s="2">
        <v>2025</v>
      </c>
      <c r="D58" s="2">
        <v>3</v>
      </c>
      <c r="E58" s="2"/>
      <c r="F58" s="39" t="s">
        <v>282</v>
      </c>
      <c r="G58" s="2">
        <f>DAY(EOMONTH(Spare[[#This Row],[Date]], 0))</f>
        <v>31</v>
      </c>
      <c r="H58" s="40">
        <v>45859</v>
      </c>
      <c r="I58" t="s">
        <v>943</v>
      </c>
      <c r="J58" s="6">
        <v>5</v>
      </c>
      <c r="K58" t="s">
        <v>36</v>
      </c>
      <c r="L58" t="s">
        <v>937</v>
      </c>
    </row>
    <row r="59" spans="1:12" x14ac:dyDescent="0.35">
      <c r="A59" s="2">
        <f t="shared" si="0"/>
        <v>58</v>
      </c>
      <c r="B59" s="2" t="s">
        <v>940</v>
      </c>
      <c r="C59" s="2">
        <v>2025</v>
      </c>
      <c r="D59" s="2">
        <v>3</v>
      </c>
      <c r="E59" s="2"/>
      <c r="F59" s="39" t="s">
        <v>282</v>
      </c>
      <c r="G59" s="2">
        <f>DAY(EOMONTH(Spare[[#This Row],[Date]], 0))</f>
        <v>31</v>
      </c>
      <c r="H59" s="40">
        <v>45859</v>
      </c>
      <c r="I59" t="s">
        <v>942</v>
      </c>
      <c r="J59" s="6">
        <v>8</v>
      </c>
      <c r="K59" t="s">
        <v>36</v>
      </c>
      <c r="L59" t="s">
        <v>937</v>
      </c>
    </row>
    <row r="60" spans="1:12" x14ac:dyDescent="0.35">
      <c r="A60" s="2">
        <f t="shared" si="0"/>
        <v>59</v>
      </c>
      <c r="B60" s="2" t="s">
        <v>940</v>
      </c>
      <c r="C60" s="2">
        <v>2025</v>
      </c>
      <c r="D60" s="2">
        <v>3</v>
      </c>
      <c r="E60" s="2"/>
      <c r="F60" s="39" t="s">
        <v>282</v>
      </c>
      <c r="G60" s="2">
        <f>DAY(EOMONTH(Spare[[#This Row],[Date]], 0))</f>
        <v>31</v>
      </c>
      <c r="H60" s="40">
        <v>45859</v>
      </c>
      <c r="I60" t="s">
        <v>941</v>
      </c>
      <c r="J60" s="6">
        <v>12</v>
      </c>
      <c r="K60" t="s">
        <v>36</v>
      </c>
      <c r="L60" t="s">
        <v>937</v>
      </c>
    </row>
    <row r="61" spans="1:12" x14ac:dyDescent="0.35">
      <c r="A61" s="2">
        <f t="shared" si="0"/>
        <v>60</v>
      </c>
      <c r="B61" s="2" t="s">
        <v>940</v>
      </c>
      <c r="C61" s="2">
        <v>2025</v>
      </c>
      <c r="D61" s="2">
        <v>3</v>
      </c>
      <c r="E61" s="2"/>
      <c r="F61" s="39" t="s">
        <v>282</v>
      </c>
      <c r="G61" s="2">
        <f>DAY(EOMONTH(Spare[[#This Row],[Date]], 0))</f>
        <v>31</v>
      </c>
      <c r="H61" s="40">
        <v>45868</v>
      </c>
      <c r="I61" t="s">
        <v>936</v>
      </c>
      <c r="J61" s="6">
        <v>430</v>
      </c>
      <c r="K61" t="s">
        <v>36</v>
      </c>
      <c r="L61" t="s">
        <v>937</v>
      </c>
    </row>
    <row r="62" spans="1:12" x14ac:dyDescent="0.35">
      <c r="A62" s="2">
        <f t="shared" si="0"/>
        <v>61</v>
      </c>
      <c r="B62" s="2" t="s">
        <v>940</v>
      </c>
      <c r="C62" s="2">
        <v>2025</v>
      </c>
      <c r="D62" s="2">
        <v>3</v>
      </c>
      <c r="E62" s="2"/>
      <c r="F62" s="39" t="s">
        <v>282</v>
      </c>
      <c r="G62" s="2">
        <f>DAY(EOMONTH(Spare[[#This Row],[Date]], 0))</f>
        <v>31</v>
      </c>
      <c r="H62" s="40">
        <v>45868</v>
      </c>
      <c r="I62" t="s">
        <v>943</v>
      </c>
      <c r="J62" s="6">
        <v>2</v>
      </c>
      <c r="K62" t="s">
        <v>36</v>
      </c>
      <c r="L62" t="s">
        <v>937</v>
      </c>
    </row>
    <row r="63" spans="1:12" hidden="1" x14ac:dyDescent="0.35">
      <c r="A63" s="2">
        <f t="shared" si="0"/>
        <v>62</v>
      </c>
      <c r="B63" s="2" t="s">
        <v>940</v>
      </c>
      <c r="C63" s="2">
        <v>2025</v>
      </c>
      <c r="D63" s="2">
        <v>3</v>
      </c>
      <c r="E63" s="2"/>
      <c r="F63" s="39" t="s">
        <v>282</v>
      </c>
      <c r="G63" s="2">
        <f>DAY(EOMONTH(Spare[[#This Row],[Date]], 0))</f>
        <v>31</v>
      </c>
      <c r="H63" s="40">
        <v>45868</v>
      </c>
      <c r="I63" t="s">
        <v>942</v>
      </c>
      <c r="J63" s="6">
        <v>6</v>
      </c>
      <c r="K63" t="s">
        <v>36</v>
      </c>
      <c r="L63" t="s">
        <v>937</v>
      </c>
    </row>
    <row r="64" spans="1:12" hidden="1" x14ac:dyDescent="0.35">
      <c r="A64" s="2">
        <f t="shared" si="0"/>
        <v>63</v>
      </c>
      <c r="B64" s="2" t="s">
        <v>940</v>
      </c>
      <c r="C64" s="2">
        <v>2025</v>
      </c>
      <c r="D64" s="2">
        <v>3</v>
      </c>
      <c r="E64" s="2"/>
      <c r="F64" s="39" t="s">
        <v>282</v>
      </c>
      <c r="G64" s="2">
        <f>DAY(EOMONTH(Spare[[#This Row],[Date]], 0))</f>
        <v>31</v>
      </c>
      <c r="H64" s="40">
        <v>45868</v>
      </c>
      <c r="I64" t="s">
        <v>941</v>
      </c>
      <c r="J64" s="6">
        <v>16</v>
      </c>
      <c r="K64" t="s">
        <v>36</v>
      </c>
      <c r="L64" t="s">
        <v>937</v>
      </c>
    </row>
    <row r="65" spans="1:12" hidden="1" x14ac:dyDescent="0.35">
      <c r="A65" s="2">
        <f t="shared" si="0"/>
        <v>64</v>
      </c>
      <c r="B65" s="2" t="s">
        <v>940</v>
      </c>
      <c r="C65" s="2">
        <v>2025</v>
      </c>
      <c r="D65" s="2">
        <v>3</v>
      </c>
      <c r="E65" s="2"/>
      <c r="F65" s="39" t="s">
        <v>282</v>
      </c>
      <c r="G65" s="2">
        <f>DAY(EOMONTH(Spare[[#This Row],[Date]], 0))</f>
        <v>31</v>
      </c>
      <c r="H65" s="40">
        <v>45868</v>
      </c>
      <c r="I65" t="s">
        <v>936</v>
      </c>
      <c r="J65" s="6">
        <v>220</v>
      </c>
      <c r="K65" t="s">
        <v>36</v>
      </c>
      <c r="L65" t="s">
        <v>937</v>
      </c>
    </row>
    <row r="66" spans="1:12" hidden="1" x14ac:dyDescent="0.35">
      <c r="A66" s="2">
        <f t="shared" si="0"/>
        <v>65</v>
      </c>
      <c r="B66" s="2" t="s">
        <v>940</v>
      </c>
      <c r="C66" s="2">
        <v>2025</v>
      </c>
      <c r="D66" s="2">
        <v>3</v>
      </c>
      <c r="E66" s="2"/>
      <c r="F66" s="39" t="s">
        <v>282</v>
      </c>
      <c r="G66" s="2">
        <f>DAY(EOMONTH(Spare[[#This Row],[Date]], 0))</f>
        <v>31</v>
      </c>
      <c r="H66" s="40">
        <v>45869</v>
      </c>
      <c r="I66" t="s">
        <v>941</v>
      </c>
      <c r="J66" s="6">
        <v>8</v>
      </c>
      <c r="K66" t="s">
        <v>36</v>
      </c>
      <c r="L66" t="s">
        <v>937</v>
      </c>
    </row>
    <row r="67" spans="1:12" hidden="1" x14ac:dyDescent="0.35">
      <c r="A67" s="2">
        <f t="shared" si="0"/>
        <v>66</v>
      </c>
      <c r="B67" s="2" t="s">
        <v>940</v>
      </c>
      <c r="C67" s="2">
        <v>2025</v>
      </c>
      <c r="D67" s="2">
        <v>3</v>
      </c>
      <c r="E67" s="2"/>
      <c r="F67" s="39" t="s">
        <v>282</v>
      </c>
      <c r="G67" s="2">
        <f>DAY(EOMONTH(Spare[[#This Row],[Date]], 0))</f>
        <v>31</v>
      </c>
      <c r="H67" s="40">
        <v>45869</v>
      </c>
      <c r="I67" t="s">
        <v>942</v>
      </c>
      <c r="J67" s="6">
        <v>4</v>
      </c>
      <c r="K67" t="s">
        <v>36</v>
      </c>
      <c r="L67" t="s">
        <v>937</v>
      </c>
    </row>
    <row r="68" spans="1:12" hidden="1" x14ac:dyDescent="0.3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2" hidden="1" x14ac:dyDescent="0.3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2" hidden="1" x14ac:dyDescent="0.3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2" hidden="1" x14ac:dyDescent="0.3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2" hidden="1" x14ac:dyDescent="0.3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2" hidden="1" x14ac:dyDescent="0.3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2" hidden="1" x14ac:dyDescent="0.3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2" hidden="1" x14ac:dyDescent="0.3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2" hidden="1" x14ac:dyDescent="0.3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2" hidden="1" x14ac:dyDescent="0.3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2" hidden="1" x14ac:dyDescent="0.3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2" hidden="1" x14ac:dyDescent="0.3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2" hidden="1" x14ac:dyDescent="0.3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hidden="1" x14ac:dyDescent="0.3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hidden="1" x14ac:dyDescent="0.3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hidden="1" x14ac:dyDescent="0.3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hidden="1" x14ac:dyDescent="0.3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hidden="1" x14ac:dyDescent="0.3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hidden="1" x14ac:dyDescent="0.3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hidden="1" x14ac:dyDescent="0.3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hidden="1" x14ac:dyDescent="0.3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hidden="1" x14ac:dyDescent="0.3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hidden="1" x14ac:dyDescent="0.3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hidden="1" x14ac:dyDescent="0.3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hidden="1" x14ac:dyDescent="0.3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hidden="1" x14ac:dyDescent="0.3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hidden="1" x14ac:dyDescent="0.3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hidden="1" x14ac:dyDescent="0.3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hidden="1" x14ac:dyDescent="0.3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hidden="1" x14ac:dyDescent="0.3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hidden="1" x14ac:dyDescent="0.3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hidden="1" x14ac:dyDescent="0.3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hidden="1" x14ac:dyDescent="0.3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hidden="1" x14ac:dyDescent="0.3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hidden="1" x14ac:dyDescent="0.3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hidden="1" x14ac:dyDescent="0.3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hidden="1" x14ac:dyDescent="0.3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hidden="1" x14ac:dyDescent="0.3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hidden="1" x14ac:dyDescent="0.3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hidden="1" x14ac:dyDescent="0.3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hidden="1" x14ac:dyDescent="0.3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hidden="1" x14ac:dyDescent="0.3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hidden="1" x14ac:dyDescent="0.3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hidden="1" x14ac:dyDescent="0.3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hidden="1" x14ac:dyDescent="0.3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hidden="1" x14ac:dyDescent="0.3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hidden="1" x14ac:dyDescent="0.3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hidden="1" x14ac:dyDescent="0.3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hidden="1" x14ac:dyDescent="0.3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hidden="1" x14ac:dyDescent="0.3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hidden="1" x14ac:dyDescent="0.3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hidden="1" x14ac:dyDescent="0.3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hidden="1" x14ac:dyDescent="0.3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hidden="1" x14ac:dyDescent="0.3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hidden="1" x14ac:dyDescent="0.3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hidden="1" x14ac:dyDescent="0.3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hidden="1" x14ac:dyDescent="0.3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hidden="1" x14ac:dyDescent="0.3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hidden="1" x14ac:dyDescent="0.3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hidden="1" x14ac:dyDescent="0.3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hidden="1" x14ac:dyDescent="0.3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hidden="1" x14ac:dyDescent="0.3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hidden="1" x14ac:dyDescent="0.3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hidden="1" x14ac:dyDescent="0.3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hidden="1" x14ac:dyDescent="0.3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hidden="1" x14ac:dyDescent="0.3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hidden="1" x14ac:dyDescent="0.3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hidden="1" x14ac:dyDescent="0.3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hidden="1" x14ac:dyDescent="0.3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hidden="1" x14ac:dyDescent="0.3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hidden="1" x14ac:dyDescent="0.3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hidden="1" x14ac:dyDescent="0.3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hidden="1" x14ac:dyDescent="0.3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hidden="1" x14ac:dyDescent="0.3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hidden="1" x14ac:dyDescent="0.3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hidden="1" x14ac:dyDescent="0.3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hidden="1" x14ac:dyDescent="0.3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hidden="1" x14ac:dyDescent="0.3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hidden="1" x14ac:dyDescent="0.3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hidden="1" x14ac:dyDescent="0.3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hidden="1" x14ac:dyDescent="0.3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hidden="1" x14ac:dyDescent="0.3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hidden="1" x14ac:dyDescent="0.3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hidden="1" x14ac:dyDescent="0.3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hidden="1" x14ac:dyDescent="0.3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hidden="1" x14ac:dyDescent="0.3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hidden="1" x14ac:dyDescent="0.3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hidden="1" x14ac:dyDescent="0.3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hidden="1" x14ac:dyDescent="0.3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hidden="1" x14ac:dyDescent="0.3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hidden="1" x14ac:dyDescent="0.3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hidden="1" x14ac:dyDescent="0.3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hidden="1" x14ac:dyDescent="0.3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hidden="1" x14ac:dyDescent="0.3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hidden="1" x14ac:dyDescent="0.3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hidden="1" x14ac:dyDescent="0.3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hidden="1" x14ac:dyDescent="0.3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hidden="1" x14ac:dyDescent="0.3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hidden="1" x14ac:dyDescent="0.3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hidden="1" x14ac:dyDescent="0.3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hidden="1" x14ac:dyDescent="0.3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hidden="1" x14ac:dyDescent="0.3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hidden="1" x14ac:dyDescent="0.3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hidden="1" x14ac:dyDescent="0.3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hidden="1" x14ac:dyDescent="0.3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hidden="1" x14ac:dyDescent="0.3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hidden="1" x14ac:dyDescent="0.3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hidden="1" x14ac:dyDescent="0.3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hidden="1" x14ac:dyDescent="0.3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hidden="1" x14ac:dyDescent="0.3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hidden="1" x14ac:dyDescent="0.3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hidden="1" x14ac:dyDescent="0.3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hidden="1" x14ac:dyDescent="0.3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hidden="1" x14ac:dyDescent="0.3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hidden="1" x14ac:dyDescent="0.3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hidden="1" x14ac:dyDescent="0.3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hidden="1" x14ac:dyDescent="0.3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hidden="1" x14ac:dyDescent="0.3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hidden="1" x14ac:dyDescent="0.3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hidden="1" x14ac:dyDescent="0.3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hidden="1" x14ac:dyDescent="0.3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hidden="1" x14ac:dyDescent="0.3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hidden="1" x14ac:dyDescent="0.3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hidden="1" x14ac:dyDescent="0.3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hidden="1" x14ac:dyDescent="0.3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hidden="1" x14ac:dyDescent="0.3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hidden="1" x14ac:dyDescent="0.3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hidden="1" x14ac:dyDescent="0.3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hidden="1" x14ac:dyDescent="0.3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hidden="1" x14ac:dyDescent="0.3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hidden="1" x14ac:dyDescent="0.3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hidden="1" x14ac:dyDescent="0.3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hidden="1" x14ac:dyDescent="0.3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hidden="1" x14ac:dyDescent="0.3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hidden="1" x14ac:dyDescent="0.3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hidden="1" x14ac:dyDescent="0.3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hidden="1" x14ac:dyDescent="0.3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hidden="1" x14ac:dyDescent="0.3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hidden="1" x14ac:dyDescent="0.3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hidden="1" x14ac:dyDescent="0.3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hidden="1" x14ac:dyDescent="0.3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hidden="1" x14ac:dyDescent="0.3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hidden="1" x14ac:dyDescent="0.3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hidden="1" x14ac:dyDescent="0.3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hidden="1" x14ac:dyDescent="0.3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hidden="1" x14ac:dyDescent="0.3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hidden="1" x14ac:dyDescent="0.3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hidden="1" x14ac:dyDescent="0.3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hidden="1" x14ac:dyDescent="0.3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hidden="1" x14ac:dyDescent="0.3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hidden="1" x14ac:dyDescent="0.3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hidden="1" x14ac:dyDescent="0.3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hidden="1" x14ac:dyDescent="0.3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hidden="1" x14ac:dyDescent="0.3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hidden="1" x14ac:dyDescent="0.3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hidden="1" x14ac:dyDescent="0.3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hidden="1" x14ac:dyDescent="0.3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hidden="1" x14ac:dyDescent="0.3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hidden="1" x14ac:dyDescent="0.3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hidden="1" x14ac:dyDescent="0.3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hidden="1" x14ac:dyDescent="0.3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hidden="1" x14ac:dyDescent="0.3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hidden="1" x14ac:dyDescent="0.3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hidden="1" x14ac:dyDescent="0.3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hidden="1" x14ac:dyDescent="0.3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hidden="1" x14ac:dyDescent="0.3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hidden="1" x14ac:dyDescent="0.3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hidden="1" x14ac:dyDescent="0.3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hidden="1" x14ac:dyDescent="0.3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hidden="1" x14ac:dyDescent="0.3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hidden="1" x14ac:dyDescent="0.3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hidden="1" x14ac:dyDescent="0.3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hidden="1" x14ac:dyDescent="0.3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hidden="1" x14ac:dyDescent="0.3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hidden="1" x14ac:dyDescent="0.3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hidden="1" x14ac:dyDescent="0.3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hidden="1" x14ac:dyDescent="0.3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hidden="1" x14ac:dyDescent="0.3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hidden="1" x14ac:dyDescent="0.3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hidden="1" x14ac:dyDescent="0.3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hidden="1" x14ac:dyDescent="0.3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hidden="1" x14ac:dyDescent="0.3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hidden="1" x14ac:dyDescent="0.3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hidden="1" x14ac:dyDescent="0.3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hidden="1" x14ac:dyDescent="0.3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hidden="1" x14ac:dyDescent="0.3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hidden="1" x14ac:dyDescent="0.3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hidden="1" x14ac:dyDescent="0.3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hidden="1" x14ac:dyDescent="0.3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hidden="1" x14ac:dyDescent="0.3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hidden="1" x14ac:dyDescent="0.3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hidden="1" x14ac:dyDescent="0.3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hidden="1" x14ac:dyDescent="0.3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hidden="1" x14ac:dyDescent="0.3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hidden="1" x14ac:dyDescent="0.3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hidden="1" x14ac:dyDescent="0.3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hidden="1" x14ac:dyDescent="0.3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hidden="1" x14ac:dyDescent="0.3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hidden="1" x14ac:dyDescent="0.3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hidden="1" x14ac:dyDescent="0.3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hidden="1" x14ac:dyDescent="0.3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hidden="1" x14ac:dyDescent="0.3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hidden="1" x14ac:dyDescent="0.3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hidden="1" x14ac:dyDescent="0.3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hidden="1" x14ac:dyDescent="0.3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hidden="1" x14ac:dyDescent="0.3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hidden="1" x14ac:dyDescent="0.3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hidden="1" x14ac:dyDescent="0.3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hidden="1" x14ac:dyDescent="0.3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hidden="1" x14ac:dyDescent="0.3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hidden="1" x14ac:dyDescent="0.3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hidden="1" x14ac:dyDescent="0.3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hidden="1" x14ac:dyDescent="0.3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hidden="1" x14ac:dyDescent="0.3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hidden="1" x14ac:dyDescent="0.3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hidden="1" x14ac:dyDescent="0.3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hidden="1" x14ac:dyDescent="0.3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hidden="1" x14ac:dyDescent="0.3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hidden="1" x14ac:dyDescent="0.3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hidden="1" x14ac:dyDescent="0.3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hidden="1" x14ac:dyDescent="0.3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hidden="1" x14ac:dyDescent="0.3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hidden="1" x14ac:dyDescent="0.3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hidden="1" x14ac:dyDescent="0.3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hidden="1" x14ac:dyDescent="0.3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hidden="1" x14ac:dyDescent="0.3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hidden="1" x14ac:dyDescent="0.3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hidden="1" x14ac:dyDescent="0.3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hidden="1" x14ac:dyDescent="0.3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hidden="1" x14ac:dyDescent="0.3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hidden="1" x14ac:dyDescent="0.3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hidden="1" x14ac:dyDescent="0.3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hidden="1" x14ac:dyDescent="0.3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hidden="1" x14ac:dyDescent="0.3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hidden="1" x14ac:dyDescent="0.3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hidden="1" x14ac:dyDescent="0.3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hidden="1" x14ac:dyDescent="0.3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hidden="1" x14ac:dyDescent="0.3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hidden="1" x14ac:dyDescent="0.3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hidden="1" x14ac:dyDescent="0.3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hidden="1" x14ac:dyDescent="0.3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hidden="1" x14ac:dyDescent="0.3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hidden="1" x14ac:dyDescent="0.3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hidden="1" x14ac:dyDescent="0.3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hidden="1" x14ac:dyDescent="0.3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hidden="1" x14ac:dyDescent="0.3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hidden="1" x14ac:dyDescent="0.3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hidden="1" x14ac:dyDescent="0.3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hidden="1" x14ac:dyDescent="0.3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hidden="1" x14ac:dyDescent="0.3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hidden="1" x14ac:dyDescent="0.3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hidden="1" x14ac:dyDescent="0.3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hidden="1" x14ac:dyDescent="0.3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hidden="1" x14ac:dyDescent="0.3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hidden="1" x14ac:dyDescent="0.3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hidden="1" x14ac:dyDescent="0.3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hidden="1" x14ac:dyDescent="0.3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hidden="1" x14ac:dyDescent="0.3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hidden="1" x14ac:dyDescent="0.3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hidden="1" x14ac:dyDescent="0.3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hidden="1" x14ac:dyDescent="0.3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hidden="1" x14ac:dyDescent="0.3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hidden="1" x14ac:dyDescent="0.3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hidden="1" x14ac:dyDescent="0.3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hidden="1" x14ac:dyDescent="0.3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hidden="1" x14ac:dyDescent="0.3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hidden="1" x14ac:dyDescent="0.3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hidden="1" x14ac:dyDescent="0.3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hidden="1" x14ac:dyDescent="0.3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hidden="1" x14ac:dyDescent="0.3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hidden="1" x14ac:dyDescent="0.3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hidden="1" x14ac:dyDescent="0.3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hidden="1" x14ac:dyDescent="0.3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hidden="1" x14ac:dyDescent="0.3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hidden="1" x14ac:dyDescent="0.3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hidden="1" x14ac:dyDescent="0.3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hidden="1" x14ac:dyDescent="0.3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hidden="1" x14ac:dyDescent="0.3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hidden="1" x14ac:dyDescent="0.3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hidden="1" x14ac:dyDescent="0.3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hidden="1" x14ac:dyDescent="0.3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hidden="1" x14ac:dyDescent="0.3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hidden="1" x14ac:dyDescent="0.3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hidden="1" x14ac:dyDescent="0.3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hidden="1" x14ac:dyDescent="0.3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hidden="1" x14ac:dyDescent="0.3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hidden="1" x14ac:dyDescent="0.3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hidden="1" x14ac:dyDescent="0.3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hidden="1" x14ac:dyDescent="0.3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hidden="1" x14ac:dyDescent="0.3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hidden="1" x14ac:dyDescent="0.3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hidden="1" x14ac:dyDescent="0.3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hidden="1" x14ac:dyDescent="0.3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hidden="1" x14ac:dyDescent="0.3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hidden="1" x14ac:dyDescent="0.3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hidden="1" x14ac:dyDescent="0.3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hidden="1" x14ac:dyDescent="0.3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hidden="1" x14ac:dyDescent="0.3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hidden="1" x14ac:dyDescent="0.3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hidden="1" x14ac:dyDescent="0.3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hidden="1" x14ac:dyDescent="0.3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hidden="1" x14ac:dyDescent="0.3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hidden="1" x14ac:dyDescent="0.3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hidden="1" x14ac:dyDescent="0.3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hidden="1" x14ac:dyDescent="0.3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hidden="1" x14ac:dyDescent="0.3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hidden="1" x14ac:dyDescent="0.3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hidden="1" x14ac:dyDescent="0.3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hidden="1" x14ac:dyDescent="0.3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hidden="1" x14ac:dyDescent="0.3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hidden="1" x14ac:dyDescent="0.3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hidden="1" x14ac:dyDescent="0.3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hidden="1" x14ac:dyDescent="0.3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hidden="1" x14ac:dyDescent="0.3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hidden="1" x14ac:dyDescent="0.3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hidden="1" x14ac:dyDescent="0.3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hidden="1" x14ac:dyDescent="0.3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hidden="1" x14ac:dyDescent="0.3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hidden="1" x14ac:dyDescent="0.3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hidden="1" x14ac:dyDescent="0.3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hidden="1" x14ac:dyDescent="0.3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hidden="1" x14ac:dyDescent="0.3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hidden="1" x14ac:dyDescent="0.3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hidden="1" x14ac:dyDescent="0.3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hidden="1" x14ac:dyDescent="0.3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hidden="1" x14ac:dyDescent="0.3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hidden="1" x14ac:dyDescent="0.3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hidden="1" x14ac:dyDescent="0.3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hidden="1" x14ac:dyDescent="0.3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hidden="1" x14ac:dyDescent="0.3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hidden="1" x14ac:dyDescent="0.3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hidden="1" x14ac:dyDescent="0.3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hidden="1" x14ac:dyDescent="0.3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hidden="1" x14ac:dyDescent="0.3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hidden="1" x14ac:dyDescent="0.3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hidden="1" x14ac:dyDescent="0.3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hidden="1" x14ac:dyDescent="0.3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hidden="1" x14ac:dyDescent="0.3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hidden="1" x14ac:dyDescent="0.3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hidden="1" x14ac:dyDescent="0.3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hidden="1" x14ac:dyDescent="0.3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hidden="1" x14ac:dyDescent="0.3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hidden="1" x14ac:dyDescent="0.3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hidden="1" x14ac:dyDescent="0.3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hidden="1" x14ac:dyDescent="0.3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hidden="1" x14ac:dyDescent="0.3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hidden="1" x14ac:dyDescent="0.3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hidden="1" x14ac:dyDescent="0.3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hidden="1" x14ac:dyDescent="0.3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hidden="1" x14ac:dyDescent="0.3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hidden="1" x14ac:dyDescent="0.3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hidden="1" x14ac:dyDescent="0.3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hidden="1" x14ac:dyDescent="0.3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hidden="1" x14ac:dyDescent="0.3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hidden="1" x14ac:dyDescent="0.3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hidden="1" x14ac:dyDescent="0.3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hidden="1" x14ac:dyDescent="0.3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hidden="1" x14ac:dyDescent="0.3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hidden="1" x14ac:dyDescent="0.3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hidden="1" x14ac:dyDescent="0.3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hidden="1" x14ac:dyDescent="0.3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hidden="1" x14ac:dyDescent="0.3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hidden="1" x14ac:dyDescent="0.3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hidden="1" x14ac:dyDescent="0.3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hidden="1" x14ac:dyDescent="0.3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hidden="1" x14ac:dyDescent="0.3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hidden="1" x14ac:dyDescent="0.3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hidden="1" x14ac:dyDescent="0.3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hidden="1" x14ac:dyDescent="0.3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hidden="1" x14ac:dyDescent="0.3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hidden="1" x14ac:dyDescent="0.3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hidden="1" x14ac:dyDescent="0.3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hidden="1" x14ac:dyDescent="0.3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hidden="1" x14ac:dyDescent="0.3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hidden="1" x14ac:dyDescent="0.3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hidden="1" x14ac:dyDescent="0.3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hidden="1" x14ac:dyDescent="0.3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hidden="1" x14ac:dyDescent="0.3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hidden="1" x14ac:dyDescent="0.3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hidden="1" x14ac:dyDescent="0.3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hidden="1" x14ac:dyDescent="0.3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hidden="1" x14ac:dyDescent="0.3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hidden="1" x14ac:dyDescent="0.3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hidden="1" x14ac:dyDescent="0.3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hidden="1" x14ac:dyDescent="0.3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hidden="1" x14ac:dyDescent="0.3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hidden="1" x14ac:dyDescent="0.3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hidden="1" x14ac:dyDescent="0.3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hidden="1" x14ac:dyDescent="0.3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hidden="1" x14ac:dyDescent="0.3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hidden="1" x14ac:dyDescent="0.3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hidden="1" x14ac:dyDescent="0.3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hidden="1" x14ac:dyDescent="0.3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hidden="1" x14ac:dyDescent="0.3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hidden="1" x14ac:dyDescent="0.3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hidden="1" x14ac:dyDescent="0.3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hidden="1" x14ac:dyDescent="0.3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hidden="1" x14ac:dyDescent="0.3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hidden="1" x14ac:dyDescent="0.3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hidden="1" x14ac:dyDescent="0.3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hidden="1" x14ac:dyDescent="0.3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hidden="1" x14ac:dyDescent="0.3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hidden="1" x14ac:dyDescent="0.3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hidden="1" x14ac:dyDescent="0.3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hidden="1" x14ac:dyDescent="0.3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hidden="1" x14ac:dyDescent="0.3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hidden="1" x14ac:dyDescent="0.3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hidden="1" x14ac:dyDescent="0.3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hidden="1" x14ac:dyDescent="0.3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hidden="1" x14ac:dyDescent="0.3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hidden="1" x14ac:dyDescent="0.3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hidden="1" x14ac:dyDescent="0.3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hidden="1" x14ac:dyDescent="0.3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hidden="1" x14ac:dyDescent="0.3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hidden="1" x14ac:dyDescent="0.3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hidden="1" x14ac:dyDescent="0.3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hidden="1" x14ac:dyDescent="0.3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hidden="1" x14ac:dyDescent="0.3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hidden="1" x14ac:dyDescent="0.3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hidden="1" x14ac:dyDescent="0.3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hidden="1" x14ac:dyDescent="0.3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hidden="1" x14ac:dyDescent="0.3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pane="topRight" activeCell="I2" sqref="I2"/>
      <selection pane="bottomLeft" activeCell="A3" sqref="A3"/>
      <selection pane="bottomRight" activeCell="G4" sqref="G4"/>
    </sheetView>
  </sheetViews>
  <sheetFormatPr defaultColWidth="8.81640625" defaultRowHeight="14.5" x14ac:dyDescent="0.35"/>
  <cols>
    <col min="1" max="5" width="13.453125" customWidth="1"/>
    <col min="6" max="6" width="10.81640625" style="2" customWidth="1"/>
    <col min="7" max="7" width="9.1796875" style="2"/>
    <col min="8" max="8" width="11.453125" customWidth="1"/>
    <col min="9" max="27" width="13.453125" customWidth="1"/>
    <col min="28" max="30" width="18.453125" customWidth="1"/>
    <col min="31" max="31" width="11.1796875" style="2" customWidth="1"/>
    <col min="32" max="37" width="13.453125" customWidth="1"/>
    <col min="38" max="38" width="40.453125" bestFit="1" customWidth="1"/>
  </cols>
  <sheetData>
    <row r="1" spans="1:38" hidden="1" x14ac:dyDescent="0.35"/>
    <row r="2" spans="1:38" s="11" customFormat="1" ht="39" x14ac:dyDescent="0.35">
      <c r="A2" s="69" t="s">
        <v>7</v>
      </c>
      <c r="B2" s="69" t="s">
        <v>116</v>
      </c>
      <c r="C2" s="69" t="s">
        <v>118</v>
      </c>
      <c r="D2" s="69" t="s">
        <v>119</v>
      </c>
      <c r="E2" s="69" t="s">
        <v>120</v>
      </c>
      <c r="F2" s="69" t="s">
        <v>75</v>
      </c>
      <c r="G2" s="69" t="s">
        <v>40</v>
      </c>
      <c r="H2" s="71" t="s">
        <v>72</v>
      </c>
      <c r="I2" s="69" t="s">
        <v>944</v>
      </c>
      <c r="J2" s="69" t="s">
        <v>945</v>
      </c>
      <c r="K2" s="76" t="s">
        <v>121</v>
      </c>
      <c r="L2" s="76" t="s">
        <v>122</v>
      </c>
      <c r="M2" s="76" t="s">
        <v>123</v>
      </c>
      <c r="N2" s="76" t="s">
        <v>124</v>
      </c>
      <c r="O2" s="76" t="s">
        <v>125</v>
      </c>
      <c r="P2" s="76" t="s">
        <v>126</v>
      </c>
      <c r="Q2" s="76" t="s">
        <v>127</v>
      </c>
      <c r="R2" s="76" t="s">
        <v>128</v>
      </c>
      <c r="S2" s="76" t="s">
        <v>129</v>
      </c>
      <c r="T2" s="76" t="s">
        <v>130</v>
      </c>
      <c r="U2" s="76" t="s">
        <v>946</v>
      </c>
      <c r="V2" s="76" t="s">
        <v>947</v>
      </c>
      <c r="W2" s="76" t="s">
        <v>948</v>
      </c>
      <c r="X2" s="76" t="s">
        <v>949</v>
      </c>
      <c r="Y2" s="76" t="s">
        <v>950</v>
      </c>
      <c r="Z2" s="76" t="s">
        <v>951</v>
      </c>
      <c r="AA2" s="76" t="s">
        <v>952</v>
      </c>
      <c r="AB2" s="76" t="s">
        <v>953</v>
      </c>
      <c r="AC2" s="167" t="s">
        <v>954</v>
      </c>
      <c r="AD2" s="167" t="s">
        <v>955</v>
      </c>
      <c r="AE2" s="69" t="s">
        <v>956</v>
      </c>
      <c r="AF2" s="69" t="s">
        <v>957</v>
      </c>
      <c r="AG2" s="69" t="s">
        <v>958</v>
      </c>
      <c r="AH2" s="69" t="s">
        <v>959</v>
      </c>
      <c r="AI2" s="69" t="s">
        <v>960</v>
      </c>
      <c r="AJ2" s="69" t="s">
        <v>961</v>
      </c>
      <c r="AK2" s="69" t="s">
        <v>962</v>
      </c>
      <c r="AL2" s="69" t="s">
        <v>933</v>
      </c>
    </row>
    <row r="3" spans="1:38" x14ac:dyDescent="0.35">
      <c r="A3" s="65">
        <v>1</v>
      </c>
      <c r="B3" s="65" t="s">
        <v>352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35">
      <c r="A4" s="62">
        <f>A3+1</f>
        <v>2</v>
      </c>
      <c r="B4" s="65" t="s">
        <v>352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35">
      <c r="A5" s="62">
        <f t="shared" ref="A5:A64" si="0">A4+1</f>
        <v>3</v>
      </c>
      <c r="B5" s="65" t="s">
        <v>352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35">
      <c r="A6" s="62">
        <f t="shared" si="0"/>
        <v>4</v>
      </c>
      <c r="B6" s="65" t="s">
        <v>352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35">
      <c r="A7" s="62">
        <f t="shared" si="0"/>
        <v>5</v>
      </c>
      <c r="B7" s="65" t="s">
        <v>352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35">
      <c r="A8" s="62">
        <f t="shared" si="0"/>
        <v>6</v>
      </c>
      <c r="B8" s="65" t="s">
        <v>352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35">
      <c r="A9" s="62">
        <f t="shared" si="0"/>
        <v>7</v>
      </c>
      <c r="B9" s="65" t="s">
        <v>352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35">
      <c r="A10" s="62">
        <f t="shared" si="0"/>
        <v>8</v>
      </c>
      <c r="B10" s="65" t="s">
        <v>352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35">
      <c r="A11" s="62">
        <f t="shared" si="0"/>
        <v>9</v>
      </c>
      <c r="B11" s="65" t="s">
        <v>352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35">
      <c r="A12" s="62">
        <f t="shared" si="0"/>
        <v>10</v>
      </c>
      <c r="B12" s="65" t="s">
        <v>352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35">
      <c r="A13" s="62">
        <f t="shared" si="0"/>
        <v>11</v>
      </c>
      <c r="B13" s="65" t="s">
        <v>352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35">
      <c r="A14" s="62">
        <f t="shared" si="0"/>
        <v>12</v>
      </c>
      <c r="B14" s="65" t="s">
        <v>352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35">
      <c r="A15" s="62">
        <f t="shared" si="0"/>
        <v>13</v>
      </c>
      <c r="B15" s="65" t="s">
        <v>352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35">
      <c r="A16" s="62">
        <f t="shared" si="0"/>
        <v>14</v>
      </c>
      <c r="B16" s="65" t="s">
        <v>352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35">
      <c r="A17" s="62">
        <f t="shared" si="0"/>
        <v>15</v>
      </c>
      <c r="B17" s="65" t="s">
        <v>352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35">
      <c r="A18" s="62">
        <f t="shared" si="0"/>
        <v>16</v>
      </c>
      <c r="B18" s="65" t="s">
        <v>352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35">
      <c r="A19" s="62">
        <f t="shared" si="0"/>
        <v>17</v>
      </c>
      <c r="B19" s="65" t="s">
        <v>352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35">
      <c r="A20" s="62">
        <f t="shared" si="0"/>
        <v>18</v>
      </c>
      <c r="B20" s="65" t="s">
        <v>352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35">
      <c r="A21" s="62">
        <f t="shared" si="0"/>
        <v>19</v>
      </c>
      <c r="B21" s="65" t="s">
        <v>352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35">
      <c r="A22" s="62">
        <f t="shared" si="0"/>
        <v>20</v>
      </c>
      <c r="B22" s="65" t="s">
        <v>352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35">
      <c r="A23" s="62">
        <f t="shared" si="0"/>
        <v>21</v>
      </c>
      <c r="B23" s="65" t="s">
        <v>352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35">
      <c r="A24" s="62">
        <f t="shared" si="0"/>
        <v>22</v>
      </c>
      <c r="B24" s="65" t="s">
        <v>352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35">
      <c r="A25" s="62">
        <f t="shared" si="0"/>
        <v>23</v>
      </c>
      <c r="B25" s="65" t="s">
        <v>352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35">
      <c r="A26" s="62">
        <f t="shared" si="0"/>
        <v>24</v>
      </c>
      <c r="B26" s="65" t="s">
        <v>352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35">
      <c r="A27" s="62">
        <f t="shared" si="0"/>
        <v>25</v>
      </c>
      <c r="B27" s="65" t="s">
        <v>352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35">
      <c r="A28" s="62">
        <f t="shared" si="0"/>
        <v>26</v>
      </c>
      <c r="B28" s="65" t="s">
        <v>352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35">
      <c r="A29" s="62">
        <f t="shared" si="0"/>
        <v>27</v>
      </c>
      <c r="B29" s="65" t="s">
        <v>352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35">
      <c r="A30" s="62">
        <f t="shared" si="0"/>
        <v>28</v>
      </c>
      <c r="B30" s="65" t="s">
        <v>352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35">
      <c r="A31" s="62">
        <f t="shared" si="0"/>
        <v>29</v>
      </c>
      <c r="B31" s="65" t="s">
        <v>352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35">
      <c r="A32" s="62">
        <f t="shared" si="0"/>
        <v>30</v>
      </c>
      <c r="B32" s="65" t="s">
        <v>352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35">
      <c r="A33" s="62">
        <f t="shared" si="0"/>
        <v>31</v>
      </c>
      <c r="B33" s="65" t="s">
        <v>352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35">
      <c r="A34" s="62">
        <f t="shared" si="0"/>
        <v>32</v>
      </c>
      <c r="B34" s="65" t="s">
        <v>352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35">
      <c r="A35" s="62">
        <f t="shared" si="0"/>
        <v>33</v>
      </c>
      <c r="B35" s="65" t="s">
        <v>352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35">
      <c r="A36" s="62">
        <f t="shared" si="0"/>
        <v>34</v>
      </c>
      <c r="B36" s="65" t="s">
        <v>352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35">
      <c r="A37" s="62">
        <f t="shared" si="0"/>
        <v>35</v>
      </c>
      <c r="B37" s="65" t="s">
        <v>352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35">
      <c r="A38" s="62">
        <f t="shared" si="0"/>
        <v>36</v>
      </c>
      <c r="B38" s="65" t="s">
        <v>352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35">
      <c r="A39" s="62">
        <f t="shared" si="0"/>
        <v>37</v>
      </c>
      <c r="B39" s="65" t="s">
        <v>352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35">
      <c r="A40" s="62">
        <f t="shared" si="0"/>
        <v>38</v>
      </c>
      <c r="B40" s="65" t="s">
        <v>352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35">
      <c r="A41" s="62">
        <f t="shared" si="0"/>
        <v>39</v>
      </c>
      <c r="B41" s="65" t="s">
        <v>352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35">
      <c r="A42" s="62">
        <f t="shared" si="0"/>
        <v>40</v>
      </c>
      <c r="B42" s="65" t="s">
        <v>352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35">
      <c r="A43" s="62">
        <f t="shared" si="0"/>
        <v>41</v>
      </c>
      <c r="B43" s="65" t="s">
        <v>352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35">
      <c r="A44" s="62">
        <f t="shared" si="0"/>
        <v>42</v>
      </c>
      <c r="B44" s="65" t="s">
        <v>352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35">
      <c r="A45" s="62">
        <f t="shared" si="0"/>
        <v>43</v>
      </c>
      <c r="B45" s="65" t="s">
        <v>352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35">
      <c r="A46" s="62">
        <f t="shared" si="0"/>
        <v>44</v>
      </c>
      <c r="B46" s="65" t="s">
        <v>352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35">
      <c r="A47" s="62">
        <f t="shared" si="0"/>
        <v>45</v>
      </c>
      <c r="B47" s="65" t="s">
        <v>352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35">
      <c r="A48" s="62">
        <f t="shared" si="0"/>
        <v>46</v>
      </c>
      <c r="B48" s="65" t="s">
        <v>352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35">
      <c r="A49" s="62">
        <f t="shared" si="0"/>
        <v>47</v>
      </c>
      <c r="B49" s="65" t="s">
        <v>352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35">
      <c r="A50" s="62">
        <f t="shared" si="0"/>
        <v>48</v>
      </c>
      <c r="B50" s="65" t="s">
        <v>352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35">
      <c r="A51" s="62">
        <f t="shared" si="0"/>
        <v>49</v>
      </c>
      <c r="B51" s="65" t="s">
        <v>352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35">
      <c r="A52" s="62">
        <f t="shared" si="0"/>
        <v>50</v>
      </c>
      <c r="B52" s="65" t="s">
        <v>352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35">
      <c r="A53" s="62">
        <f t="shared" si="0"/>
        <v>51</v>
      </c>
      <c r="B53" s="65" t="s">
        <v>352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35">
      <c r="A54" s="62">
        <f t="shared" si="0"/>
        <v>52</v>
      </c>
      <c r="B54" s="65" t="s">
        <v>352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35">
      <c r="A55" s="62">
        <f t="shared" si="0"/>
        <v>53</v>
      </c>
      <c r="B55" s="65" t="s">
        <v>352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35">
      <c r="A56" s="62">
        <f t="shared" si="0"/>
        <v>54</v>
      </c>
      <c r="B56" s="65" t="s">
        <v>352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35">
      <c r="A57" s="62">
        <f t="shared" si="0"/>
        <v>55</v>
      </c>
      <c r="B57" s="65" t="s">
        <v>352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35">
      <c r="A58" s="62">
        <f t="shared" si="0"/>
        <v>56</v>
      </c>
      <c r="B58" s="65" t="s">
        <v>352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35">
      <c r="A59" s="62">
        <f t="shared" si="0"/>
        <v>57</v>
      </c>
      <c r="B59" s="65" t="s">
        <v>352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35">
      <c r="A60" s="62">
        <f t="shared" si="0"/>
        <v>58</v>
      </c>
      <c r="B60" s="65" t="s">
        <v>352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35">
      <c r="A61" s="62">
        <f t="shared" si="0"/>
        <v>59</v>
      </c>
      <c r="B61" s="65" t="s">
        <v>352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35">
      <c r="A62" s="62">
        <f t="shared" si="0"/>
        <v>60</v>
      </c>
      <c r="B62" s="65" t="s">
        <v>352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35">
      <c r="A63" s="62">
        <f t="shared" si="0"/>
        <v>61</v>
      </c>
      <c r="B63" s="65" t="s">
        <v>352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35">
      <c r="A64" s="62">
        <f t="shared" si="0"/>
        <v>62</v>
      </c>
      <c r="B64" s="65" t="s">
        <v>352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pane="topRight" activeCell="H2" sqref="H2"/>
      <selection pane="bottomLeft" activeCell="A3" sqref="A3"/>
      <selection pane="bottomRight" activeCell="B3" sqref="B3:H3"/>
    </sheetView>
  </sheetViews>
  <sheetFormatPr defaultColWidth="8.81640625" defaultRowHeight="14.5" x14ac:dyDescent="0.35"/>
  <cols>
    <col min="1" max="4" width="13.453125" customWidth="1"/>
    <col min="5" max="5" width="10.81640625" style="2" customWidth="1"/>
    <col min="6" max="7" width="9.1796875" style="2"/>
    <col min="8" max="8" width="10.1796875" customWidth="1"/>
    <col min="10" max="10" width="10.453125" customWidth="1"/>
    <col min="11" max="11" width="20" customWidth="1"/>
    <col min="12" max="12" width="10.453125" customWidth="1"/>
    <col min="13" max="13" width="20.81640625" customWidth="1"/>
    <col min="14" max="20" width="12.453125" customWidth="1"/>
    <col min="21" max="21" width="18.81640625" bestFit="1" customWidth="1"/>
    <col min="22" max="22" width="45.81640625" customWidth="1"/>
    <col min="23" max="23" width="19.81640625" customWidth="1"/>
  </cols>
  <sheetData>
    <row r="1" spans="1:22" hidden="1" x14ac:dyDescent="0.35"/>
    <row r="2" spans="1:22" ht="26" x14ac:dyDescent="0.35">
      <c r="A2" s="70" t="s">
        <v>7</v>
      </c>
      <c r="B2" s="70" t="s">
        <v>116</v>
      </c>
      <c r="C2" s="70" t="s">
        <v>118</v>
      </c>
      <c r="D2" s="70" t="s">
        <v>119</v>
      </c>
      <c r="E2" s="70" t="s">
        <v>120</v>
      </c>
      <c r="F2" s="70" t="s">
        <v>75</v>
      </c>
      <c r="G2" s="69" t="s">
        <v>40</v>
      </c>
      <c r="H2" s="70" t="s">
        <v>72</v>
      </c>
      <c r="I2" s="70" t="s">
        <v>944</v>
      </c>
      <c r="J2" s="70" t="s">
        <v>945</v>
      </c>
      <c r="K2" s="76" t="s">
        <v>121</v>
      </c>
      <c r="L2" s="76" t="s">
        <v>122</v>
      </c>
      <c r="M2" s="76" t="s">
        <v>123</v>
      </c>
      <c r="N2" s="76" t="s">
        <v>124</v>
      </c>
      <c r="O2" s="76" t="s">
        <v>125</v>
      </c>
      <c r="P2" s="76" t="s">
        <v>126</v>
      </c>
      <c r="Q2" s="76" t="s">
        <v>963</v>
      </c>
      <c r="R2" s="76" t="s">
        <v>964</v>
      </c>
      <c r="S2" s="76" t="s">
        <v>965</v>
      </c>
      <c r="T2" s="76" t="s">
        <v>966</v>
      </c>
      <c r="U2" s="70" t="s">
        <v>967</v>
      </c>
      <c r="V2" s="70" t="s">
        <v>933</v>
      </c>
    </row>
    <row r="3" spans="1:22" ht="14.15" customHeight="1" x14ac:dyDescent="0.35">
      <c r="A3" s="65">
        <v>1</v>
      </c>
      <c r="B3" s="65" t="s">
        <v>352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35">
      <c r="A4" s="62">
        <f>A3+1</f>
        <v>2</v>
      </c>
      <c r="B4" s="65" t="s">
        <v>352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35">
      <c r="A5" s="62">
        <f t="shared" ref="A5:A64" si="0">A4+1</f>
        <v>3</v>
      </c>
      <c r="B5" s="65" t="s">
        <v>352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35">
      <c r="A6" s="62">
        <f t="shared" si="0"/>
        <v>4</v>
      </c>
      <c r="B6" s="65" t="s">
        <v>352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35">
      <c r="A7" s="62">
        <f t="shared" si="0"/>
        <v>5</v>
      </c>
      <c r="B7" s="65" t="s">
        <v>352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35">
      <c r="A8" s="62">
        <f t="shared" si="0"/>
        <v>6</v>
      </c>
      <c r="B8" s="65" t="s">
        <v>352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35">
      <c r="A9" s="62">
        <f t="shared" si="0"/>
        <v>7</v>
      </c>
      <c r="B9" s="65" t="s">
        <v>352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35">
      <c r="A10" s="62">
        <f t="shared" si="0"/>
        <v>8</v>
      </c>
      <c r="B10" s="65" t="s">
        <v>352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35">
      <c r="A11" s="62">
        <f t="shared" si="0"/>
        <v>9</v>
      </c>
      <c r="B11" s="65" t="s">
        <v>352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35">
      <c r="A12" s="62">
        <f t="shared" si="0"/>
        <v>10</v>
      </c>
      <c r="B12" s="65" t="s">
        <v>352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35">
      <c r="A13" s="62">
        <f t="shared" si="0"/>
        <v>11</v>
      </c>
      <c r="B13" s="65" t="s">
        <v>352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35">
      <c r="A14" s="62">
        <f t="shared" si="0"/>
        <v>12</v>
      </c>
      <c r="B14" s="65" t="s">
        <v>352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35">
      <c r="A15" s="62">
        <f t="shared" si="0"/>
        <v>13</v>
      </c>
      <c r="B15" s="65" t="s">
        <v>352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35">
      <c r="A16" s="62">
        <f t="shared" si="0"/>
        <v>14</v>
      </c>
      <c r="B16" s="65" t="s">
        <v>352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35">
      <c r="A17" s="62">
        <f t="shared" si="0"/>
        <v>15</v>
      </c>
      <c r="B17" s="65" t="s">
        <v>352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35">
      <c r="A18" s="62">
        <f t="shared" si="0"/>
        <v>16</v>
      </c>
      <c r="B18" s="65" t="s">
        <v>352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35">
      <c r="A19" s="62">
        <f t="shared" si="0"/>
        <v>17</v>
      </c>
      <c r="B19" s="65" t="s">
        <v>352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35">
      <c r="A20" s="62">
        <f t="shared" si="0"/>
        <v>18</v>
      </c>
      <c r="B20" s="65" t="s">
        <v>352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35">
      <c r="A21" s="62">
        <f t="shared" si="0"/>
        <v>19</v>
      </c>
      <c r="B21" s="65" t="s">
        <v>352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35">
      <c r="A22" s="62">
        <f t="shared" si="0"/>
        <v>20</v>
      </c>
      <c r="B22" s="65" t="s">
        <v>352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35">
      <c r="A23" s="62">
        <f t="shared" si="0"/>
        <v>21</v>
      </c>
      <c r="B23" s="65" t="s">
        <v>352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35">
      <c r="A24" s="62">
        <f t="shared" si="0"/>
        <v>22</v>
      </c>
      <c r="B24" s="65" t="s">
        <v>352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35">
      <c r="A25" s="62">
        <f t="shared" si="0"/>
        <v>23</v>
      </c>
      <c r="B25" s="65" t="s">
        <v>352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35">
      <c r="A26" s="62">
        <f t="shared" si="0"/>
        <v>24</v>
      </c>
      <c r="B26" s="65" t="s">
        <v>352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35">
      <c r="A27" s="62">
        <f t="shared" si="0"/>
        <v>25</v>
      </c>
      <c r="B27" s="65" t="s">
        <v>352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35">
      <c r="A28" s="62">
        <f t="shared" si="0"/>
        <v>26</v>
      </c>
      <c r="B28" s="65" t="s">
        <v>352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35">
      <c r="A29" s="62">
        <f t="shared" si="0"/>
        <v>27</v>
      </c>
      <c r="B29" s="65" t="s">
        <v>352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35">
      <c r="A30" s="62">
        <f t="shared" si="0"/>
        <v>28</v>
      </c>
      <c r="B30" s="65" t="s">
        <v>352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35">
      <c r="A31" s="62">
        <f t="shared" si="0"/>
        <v>29</v>
      </c>
      <c r="B31" s="65" t="s">
        <v>352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35">
      <c r="A32" s="62">
        <f t="shared" si="0"/>
        <v>30</v>
      </c>
      <c r="B32" s="65" t="s">
        <v>352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35">
      <c r="A33" s="62">
        <f t="shared" si="0"/>
        <v>31</v>
      </c>
      <c r="B33" s="65" t="s">
        <v>352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35">
      <c r="A34" s="62">
        <f t="shared" si="0"/>
        <v>32</v>
      </c>
      <c r="B34" s="65" t="s">
        <v>352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35">
      <c r="A35" s="62">
        <f t="shared" si="0"/>
        <v>33</v>
      </c>
      <c r="B35" s="65" t="s">
        <v>352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35">
      <c r="A36" s="62">
        <f t="shared" si="0"/>
        <v>34</v>
      </c>
      <c r="B36" s="65" t="s">
        <v>352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35">
      <c r="A37" s="62">
        <f t="shared" si="0"/>
        <v>35</v>
      </c>
      <c r="B37" s="65" t="s">
        <v>352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35">
      <c r="A38" s="62">
        <f t="shared" si="0"/>
        <v>36</v>
      </c>
      <c r="B38" s="65" t="s">
        <v>352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35">
      <c r="A39" s="62">
        <f t="shared" si="0"/>
        <v>37</v>
      </c>
      <c r="B39" s="65" t="s">
        <v>352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35">
      <c r="A40" s="62">
        <f t="shared" si="0"/>
        <v>38</v>
      </c>
      <c r="B40" s="65" t="s">
        <v>352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35">
      <c r="A41" s="62">
        <f t="shared" si="0"/>
        <v>39</v>
      </c>
      <c r="B41" s="65" t="s">
        <v>352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35">
      <c r="A42" s="62">
        <f t="shared" si="0"/>
        <v>40</v>
      </c>
      <c r="B42" s="65" t="s">
        <v>352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35">
      <c r="A43" s="62">
        <f t="shared" si="0"/>
        <v>41</v>
      </c>
      <c r="B43" s="65" t="s">
        <v>352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35">
      <c r="A44" s="62">
        <f t="shared" si="0"/>
        <v>42</v>
      </c>
      <c r="B44" s="65" t="s">
        <v>352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35">
      <c r="A45" s="62">
        <f t="shared" si="0"/>
        <v>43</v>
      </c>
      <c r="B45" s="65" t="s">
        <v>352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35">
      <c r="A46" s="62">
        <f t="shared" si="0"/>
        <v>44</v>
      </c>
      <c r="B46" s="65" t="s">
        <v>352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35">
      <c r="A47" s="62">
        <f t="shared" si="0"/>
        <v>45</v>
      </c>
      <c r="B47" s="65" t="s">
        <v>352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35">
      <c r="A48" s="62">
        <f t="shared" si="0"/>
        <v>46</v>
      </c>
      <c r="B48" s="65" t="s">
        <v>352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35">
      <c r="A49" s="62">
        <f t="shared" si="0"/>
        <v>47</v>
      </c>
      <c r="B49" s="65" t="s">
        <v>352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35">
      <c r="A50" s="62">
        <f t="shared" si="0"/>
        <v>48</v>
      </c>
      <c r="B50" s="65" t="s">
        <v>352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35">
      <c r="A51" s="62">
        <f t="shared" si="0"/>
        <v>49</v>
      </c>
      <c r="B51" s="65" t="s">
        <v>352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35">
      <c r="A52" s="62">
        <f t="shared" si="0"/>
        <v>50</v>
      </c>
      <c r="B52" s="65" t="s">
        <v>352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35">
      <c r="A53" s="62">
        <f t="shared" si="0"/>
        <v>51</v>
      </c>
      <c r="B53" s="65" t="s">
        <v>352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35">
      <c r="A54" s="62">
        <f t="shared" si="0"/>
        <v>52</v>
      </c>
      <c r="B54" s="65" t="s">
        <v>352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35">
      <c r="A55" s="62">
        <f t="shared" si="0"/>
        <v>53</v>
      </c>
      <c r="B55" s="65" t="s">
        <v>352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35">
      <c r="A56" s="62">
        <f t="shared" si="0"/>
        <v>54</v>
      </c>
      <c r="B56" s="65" t="s">
        <v>352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35">
      <c r="A57" s="62">
        <f t="shared" si="0"/>
        <v>55</v>
      </c>
      <c r="B57" s="65" t="s">
        <v>352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35">
      <c r="A58" s="62">
        <f t="shared" si="0"/>
        <v>56</v>
      </c>
      <c r="B58" s="65" t="s">
        <v>352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35">
      <c r="A59" s="62">
        <f t="shared" si="0"/>
        <v>57</v>
      </c>
      <c r="B59" s="65" t="s">
        <v>352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35">
      <c r="A60" s="62">
        <f t="shared" si="0"/>
        <v>58</v>
      </c>
      <c r="B60" s="65" t="s">
        <v>352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35">
      <c r="A61" s="62">
        <f t="shared" si="0"/>
        <v>59</v>
      </c>
      <c r="B61" s="65" t="s">
        <v>352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35">
      <c r="A62" s="62">
        <f t="shared" si="0"/>
        <v>60</v>
      </c>
      <c r="B62" s="65" t="s">
        <v>352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35">
      <c r="A63" s="62">
        <f t="shared" si="0"/>
        <v>61</v>
      </c>
      <c r="B63" s="65" t="s">
        <v>352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35">
      <c r="A64" s="62">
        <f t="shared" si="0"/>
        <v>62</v>
      </c>
      <c r="B64" s="65" t="s">
        <v>352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Raw Data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2015-06-05T18:17:20Z</dcterms:created>
  <dcterms:modified xsi:type="dcterms:W3CDTF">2025-08-05T06:29:48Z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