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D9AFBB57-4335-486E-856F-0B198F57E2D1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94" i="4" l="1"/>
  <c r="AC1695" i="4"/>
  <c r="AC1697" i="4"/>
  <c r="AD1698" i="4"/>
  <c r="AI1698" i="4" s="1"/>
  <c r="AD1699" i="4"/>
  <c r="AI1699" i="4" s="1"/>
  <c r="AC1700" i="4"/>
  <c r="AD1701" i="4"/>
  <c r="AI1701" i="4" s="1"/>
  <c r="AB1702" i="4"/>
  <c r="AD1703" i="4"/>
  <c r="AI1703" i="4" s="1"/>
  <c r="AC1705" i="4"/>
  <c r="AA1695" i="4"/>
  <c r="AA1698" i="4"/>
  <c r="AA1699" i="4"/>
  <c r="AA1700" i="4"/>
  <c r="AA1703" i="4"/>
  <c r="AA1704" i="4"/>
  <c r="AH1706" i="4"/>
  <c r="X1706" i="4"/>
  <c r="AA1706" i="4" s="1"/>
  <c r="W1706" i="4"/>
  <c r="AD1706" i="4" s="1"/>
  <c r="AI1706" i="4" s="1"/>
  <c r="M1706" i="4"/>
  <c r="J1706" i="4"/>
  <c r="K1706" i="4" s="1"/>
  <c r="I1706" i="4"/>
  <c r="G1706" i="4"/>
  <c r="C1706" i="4"/>
  <c r="B1706" i="4"/>
  <c r="AH1705" i="4"/>
  <c r="AA1705" i="4"/>
  <c r="M1705" i="4"/>
  <c r="J1705" i="4"/>
  <c r="K1705" i="4" s="1"/>
  <c r="I1705" i="4"/>
  <c r="G1705" i="4"/>
  <c r="C1705" i="4"/>
  <c r="B1705" i="4"/>
  <c r="AH1704" i="4"/>
  <c r="AD1704" i="4"/>
  <c r="AI1704" i="4" s="1"/>
  <c r="AC1704" i="4"/>
  <c r="AB1704" i="4"/>
  <c r="M1704" i="4"/>
  <c r="K1704" i="4"/>
  <c r="J1704" i="4"/>
  <c r="I1704" i="4"/>
  <c r="G1704" i="4"/>
  <c r="C1704" i="4"/>
  <c r="B1704" i="4"/>
  <c r="AH1703" i="4"/>
  <c r="AB1703" i="4"/>
  <c r="M1703" i="4"/>
  <c r="K1703" i="4"/>
  <c r="J1703" i="4"/>
  <c r="I1703" i="4"/>
  <c r="G1703" i="4"/>
  <c r="C1703" i="4"/>
  <c r="B1703" i="4"/>
  <c r="AH1702" i="4"/>
  <c r="AD1702" i="4"/>
  <c r="AI1702" i="4" s="1"/>
  <c r="AC1702" i="4"/>
  <c r="AA1702" i="4"/>
  <c r="M1702" i="4"/>
  <c r="K1702" i="4"/>
  <c r="J1702" i="4"/>
  <c r="I1702" i="4"/>
  <c r="G1702" i="4"/>
  <c r="C1702" i="4"/>
  <c r="B1702" i="4"/>
  <c r="AH1701" i="4"/>
  <c r="AA1701" i="4"/>
  <c r="M1701" i="4"/>
  <c r="J1701" i="4"/>
  <c r="K1701" i="4" s="1"/>
  <c r="I1701" i="4"/>
  <c r="G1701" i="4"/>
  <c r="C1701" i="4"/>
  <c r="B1701" i="4"/>
  <c r="AH1700" i="4"/>
  <c r="AD1700" i="4"/>
  <c r="AI1700" i="4" s="1"/>
  <c r="M1700" i="4"/>
  <c r="J1700" i="4"/>
  <c r="K1700" i="4" s="1"/>
  <c r="I1700" i="4"/>
  <c r="G1700" i="4"/>
  <c r="C1700" i="4"/>
  <c r="B1700" i="4"/>
  <c r="AH1699" i="4"/>
  <c r="AB1699" i="4"/>
  <c r="M1699" i="4"/>
  <c r="J1699" i="4"/>
  <c r="K1699" i="4" s="1"/>
  <c r="I1699" i="4"/>
  <c r="G1699" i="4"/>
  <c r="C1699" i="4"/>
  <c r="B1699" i="4"/>
  <c r="AH1698" i="4"/>
  <c r="AC1698" i="4"/>
  <c r="M1698" i="4"/>
  <c r="J1698" i="4"/>
  <c r="K1698" i="4" s="1"/>
  <c r="I1698" i="4"/>
  <c r="G1698" i="4"/>
  <c r="C1698" i="4"/>
  <c r="B1698" i="4"/>
  <c r="AH1697" i="4"/>
  <c r="AD1697" i="4"/>
  <c r="AI1697" i="4" s="1"/>
  <c r="AA1697" i="4"/>
  <c r="M1697" i="4"/>
  <c r="J1697" i="4"/>
  <c r="K1697" i="4" s="1"/>
  <c r="I1697" i="4"/>
  <c r="G1697" i="4"/>
  <c r="C1697" i="4"/>
  <c r="B1697" i="4"/>
  <c r="A1697" i="4"/>
  <c r="A1698" i="4" s="1"/>
  <c r="A1699" i="4" s="1"/>
  <c r="A1700" i="4" s="1"/>
  <c r="A1701" i="4" s="1"/>
  <c r="A1702" i="4" s="1"/>
  <c r="A1703" i="4" s="1"/>
  <c r="A1704" i="4" s="1"/>
  <c r="A1705" i="4" s="1"/>
  <c r="A1706" i="4" s="1"/>
  <c r="AH1696" i="4"/>
  <c r="AD1696" i="4"/>
  <c r="AI1696" i="4" s="1"/>
  <c r="AC1696" i="4"/>
  <c r="X1696" i="4"/>
  <c r="AA1696" i="4" s="1"/>
  <c r="W1696" i="4"/>
  <c r="AB1696" i="4" s="1"/>
  <c r="M1696" i="4"/>
  <c r="J1696" i="4"/>
  <c r="K1696" i="4" s="1"/>
  <c r="I1696" i="4"/>
  <c r="G1696" i="4"/>
  <c r="C1696" i="4"/>
  <c r="B1696" i="4"/>
  <c r="A1696" i="4"/>
  <c r="AH1695" i="4"/>
  <c r="M1695" i="4"/>
  <c r="J1695" i="4"/>
  <c r="K1695" i="4" s="1"/>
  <c r="I1695" i="4"/>
  <c r="G1695" i="4"/>
  <c r="C1695" i="4"/>
  <c r="B1695" i="4"/>
  <c r="A1695" i="4"/>
  <c r="AH1694" i="4"/>
  <c r="AD1694" i="4"/>
  <c r="AI1694" i="4" s="1"/>
  <c r="AA1694" i="4"/>
  <c r="M1694" i="4"/>
  <c r="K1694" i="4"/>
  <c r="J1694" i="4"/>
  <c r="I1694" i="4"/>
  <c r="G1694" i="4"/>
  <c r="C1694" i="4"/>
  <c r="B1694" i="4"/>
  <c r="A1694" i="4"/>
  <c r="A124" i="7"/>
  <c r="C124" i="7"/>
  <c r="F124" i="7"/>
  <c r="G124" i="7" s="1"/>
  <c r="H124" i="7"/>
  <c r="B124" i="7" s="1"/>
  <c r="J124" i="7"/>
  <c r="K124" i="7"/>
  <c r="L124" i="7"/>
  <c r="M124" i="7"/>
  <c r="N124" i="7"/>
  <c r="O124" i="7"/>
  <c r="P124" i="7"/>
  <c r="Q124" i="7"/>
  <c r="R124" i="7"/>
  <c r="S124" i="7"/>
  <c r="T124" i="7"/>
  <c r="U124" i="7"/>
  <c r="A123" i="7"/>
  <c r="B123" i="7"/>
  <c r="C123" i="7"/>
  <c r="F123" i="7"/>
  <c r="G123" i="7"/>
  <c r="H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G126" i="6"/>
  <c r="H126" i="6"/>
  <c r="A126" i="6" s="1"/>
  <c r="I126" i="6"/>
  <c r="J126" i="6"/>
  <c r="P126" i="6" s="1"/>
  <c r="K126" i="6"/>
  <c r="L126" i="6"/>
  <c r="M126" i="6"/>
  <c r="N126" i="6"/>
  <c r="O126" i="6"/>
  <c r="A125" i="6"/>
  <c r="B125" i="6"/>
  <c r="C125" i="6"/>
  <c r="G125" i="6"/>
  <c r="H125" i="6"/>
  <c r="I125" i="6"/>
  <c r="J125" i="6"/>
  <c r="K125" i="6"/>
  <c r="L125" i="6"/>
  <c r="M125" i="6"/>
  <c r="N125" i="6"/>
  <c r="O125" i="6"/>
  <c r="P125" i="6"/>
  <c r="Q125" i="6"/>
  <c r="A124" i="6"/>
  <c r="B124" i="6"/>
  <c r="C124" i="6"/>
  <c r="G124" i="6"/>
  <c r="H124" i="6"/>
  <c r="I124" i="6"/>
  <c r="J124" i="6"/>
  <c r="K124" i="6"/>
  <c r="L124" i="6"/>
  <c r="M124" i="6"/>
  <c r="N124" i="6"/>
  <c r="O124" i="6"/>
  <c r="P124" i="6"/>
  <c r="Q124" i="6"/>
  <c r="F126" i="1"/>
  <c r="AB126" i="1"/>
  <c r="AC126" i="1"/>
  <c r="AE126" i="1" s="1"/>
  <c r="AD126" i="1"/>
  <c r="AF126" i="1"/>
  <c r="AG126" i="1" s="1"/>
  <c r="AH126" i="1"/>
  <c r="AC1681" i="4"/>
  <c r="AD1682" i="4"/>
  <c r="AI1682" i="4" s="1"/>
  <c r="AC1684" i="4"/>
  <c r="AD1685" i="4"/>
  <c r="AI1685" i="4" s="1"/>
  <c r="AD1686" i="4"/>
  <c r="AI1686" i="4" s="1"/>
  <c r="AC1687" i="4"/>
  <c r="AD1688" i="4"/>
  <c r="AI1688" i="4" s="1"/>
  <c r="AB1689" i="4"/>
  <c r="AC1690" i="4"/>
  <c r="AD1691" i="4"/>
  <c r="AI1691" i="4" s="1"/>
  <c r="AB1692" i="4"/>
  <c r="AA1682" i="4"/>
  <c r="AA1684" i="4"/>
  <c r="AA1685" i="4"/>
  <c r="AA1687" i="4"/>
  <c r="AA1688" i="4"/>
  <c r="AA1689" i="4"/>
  <c r="AA1691" i="4"/>
  <c r="AA1692" i="4"/>
  <c r="AH1693" i="4"/>
  <c r="M1693" i="4"/>
  <c r="G1693" i="4"/>
  <c r="C1693" i="4"/>
  <c r="B1693" i="4"/>
  <c r="AH1692" i="4"/>
  <c r="AD1692" i="4"/>
  <c r="AI1692" i="4" s="1"/>
  <c r="AC1692" i="4"/>
  <c r="M1692" i="4"/>
  <c r="G1692" i="4"/>
  <c r="C1692" i="4"/>
  <c r="B1692" i="4"/>
  <c r="AH1691" i="4"/>
  <c r="AC1691" i="4"/>
  <c r="M1691" i="4"/>
  <c r="G1691" i="4"/>
  <c r="C1691" i="4"/>
  <c r="B1691" i="4"/>
  <c r="AH1690" i="4"/>
  <c r="AD1690" i="4"/>
  <c r="AI1690" i="4" s="1"/>
  <c r="AA1690" i="4"/>
  <c r="M1690" i="4"/>
  <c r="G1690" i="4"/>
  <c r="C1690" i="4"/>
  <c r="B1690" i="4"/>
  <c r="AH1689" i="4"/>
  <c r="M1689" i="4"/>
  <c r="G1689" i="4"/>
  <c r="C1689" i="4"/>
  <c r="B1689" i="4"/>
  <c r="AH1688" i="4"/>
  <c r="M1688" i="4"/>
  <c r="G1688" i="4"/>
  <c r="C1688" i="4"/>
  <c r="B1688" i="4"/>
  <c r="AH1687" i="4"/>
  <c r="AD1687" i="4"/>
  <c r="AI1687" i="4" s="1"/>
  <c r="AB1687" i="4"/>
  <c r="M1687" i="4"/>
  <c r="G1687" i="4"/>
  <c r="C1687" i="4"/>
  <c r="B1687" i="4"/>
  <c r="AH1686" i="4"/>
  <c r="AC1686" i="4"/>
  <c r="AA1686" i="4"/>
  <c r="M1686" i="4"/>
  <c r="G1686" i="4"/>
  <c r="C1686" i="4"/>
  <c r="B1686" i="4"/>
  <c r="AH1685" i="4"/>
  <c r="M1685" i="4"/>
  <c r="G1685" i="4"/>
  <c r="C1685" i="4"/>
  <c r="B1685" i="4"/>
  <c r="AH1684" i="4"/>
  <c r="AD1684" i="4"/>
  <c r="AI1684" i="4" s="1"/>
  <c r="AB1684" i="4"/>
  <c r="M1684" i="4"/>
  <c r="G1684" i="4"/>
  <c r="C1684" i="4"/>
  <c r="B1684" i="4"/>
  <c r="AH1683" i="4"/>
  <c r="M1683" i="4"/>
  <c r="G1683" i="4"/>
  <c r="C1683" i="4"/>
  <c r="B1683" i="4"/>
  <c r="A1683" i="4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H1682" i="4"/>
  <c r="AB1682" i="4"/>
  <c r="M1682" i="4"/>
  <c r="G1682" i="4"/>
  <c r="C1682" i="4"/>
  <c r="B1682" i="4"/>
  <c r="A1682" i="4"/>
  <c r="AH1681" i="4"/>
  <c r="AD1681" i="4"/>
  <c r="AI1681" i="4" s="1"/>
  <c r="AA1681" i="4"/>
  <c r="M1681" i="4"/>
  <c r="G1681" i="4"/>
  <c r="C1681" i="4"/>
  <c r="B1681" i="4"/>
  <c r="A1681" i="4"/>
  <c r="F125" i="1"/>
  <c r="AB125" i="1"/>
  <c r="AC125" i="1"/>
  <c r="AD125" i="1"/>
  <c r="AF125" i="1"/>
  <c r="AG125" i="1" s="1"/>
  <c r="AH125" i="1"/>
  <c r="H122" i="7"/>
  <c r="A122" i="7" s="1"/>
  <c r="G123" i="6"/>
  <c r="H123" i="6"/>
  <c r="A123" i="6" s="1"/>
  <c r="I123" i="6"/>
  <c r="J123" i="6"/>
  <c r="K123" i="6"/>
  <c r="L123" i="6"/>
  <c r="M123" i="6"/>
  <c r="N123" i="6"/>
  <c r="O123" i="6"/>
  <c r="F124" i="1"/>
  <c r="AB124" i="1"/>
  <c r="AC124" i="1"/>
  <c r="AD124" i="1"/>
  <c r="AF124" i="1"/>
  <c r="AG124" i="1" s="1"/>
  <c r="AH124" i="1"/>
  <c r="AB1668" i="4"/>
  <c r="AD1669" i="4"/>
  <c r="AA1671" i="4"/>
  <c r="AC1672" i="4"/>
  <c r="AD1673" i="4"/>
  <c r="AI1673" i="4" s="1"/>
  <c r="AB1674" i="4"/>
  <c r="AD1675" i="4"/>
  <c r="AI1675" i="4" s="1"/>
  <c r="AD1676" i="4"/>
  <c r="AI1676" i="4" s="1"/>
  <c r="AB1677" i="4"/>
  <c r="AD1678" i="4"/>
  <c r="AI1678" i="4" s="1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I1674" i="4" s="1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AI1672" i="4" s="1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G123" i="1" s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G122" i="1" s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G121" i="1" s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I1626" i="4" s="1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G120" i="1" s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G30" i="3"/>
  <c r="M30" i="3"/>
  <c r="N30" i="3"/>
  <c r="W30" i="3"/>
  <c r="X30" i="3"/>
  <c r="Y30" i="3"/>
  <c r="Z30" i="3"/>
  <c r="AC30" i="3" s="1"/>
  <c r="AE30" i="3"/>
  <c r="Z29" i="3"/>
  <c r="AC29" i="3" s="1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AC27" i="3" s="1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G119" i="1" s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G118" i="1" s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G117" i="1" s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AB1706" i="4" l="1"/>
  <c r="AC1706" i="4"/>
  <c r="AD1705" i="4"/>
  <c r="AI1705" i="4" s="1"/>
  <c r="AB1705" i="4"/>
  <c r="AC1703" i="4"/>
  <c r="AB1701" i="4"/>
  <c r="AC1701" i="4"/>
  <c r="AB1700" i="4"/>
  <c r="AC1699" i="4"/>
  <c r="AB1698" i="4"/>
  <c r="AB1697" i="4"/>
  <c r="AB1695" i="4"/>
  <c r="AD1695" i="4"/>
  <c r="AI1695" i="4" s="1"/>
  <c r="AB1694" i="4"/>
  <c r="Q126" i="6"/>
  <c r="C126" i="6"/>
  <c r="B126" i="6"/>
  <c r="AB1691" i="4"/>
  <c r="AB1690" i="4"/>
  <c r="AC1689" i="4"/>
  <c r="AD1689" i="4"/>
  <c r="AI1689" i="4" s="1"/>
  <c r="AB1688" i="4"/>
  <c r="AC1688" i="4"/>
  <c r="AB1686" i="4"/>
  <c r="AB1685" i="4"/>
  <c r="AC1685" i="4"/>
  <c r="AC1682" i="4"/>
  <c r="AB1681" i="4"/>
  <c r="AE125" i="1"/>
  <c r="AE124" i="1"/>
  <c r="Q123" i="6"/>
  <c r="U122" i="7" s="1"/>
  <c r="F122" i="7"/>
  <c r="G122" i="7" s="1"/>
  <c r="C122" i="7"/>
  <c r="B122" i="7"/>
  <c r="P123" i="6"/>
  <c r="J122" i="7" s="1"/>
  <c r="C123" i="6"/>
  <c r="B123" i="6"/>
  <c r="P122" i="6"/>
  <c r="L121" i="7" s="1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P115" i="6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T113" i="7" l="1"/>
  <c r="T122" i="7"/>
  <c r="R122" i="7"/>
  <c r="S122" i="7"/>
  <c r="K122" i="7"/>
  <c r="L122" i="7"/>
  <c r="M122" i="7"/>
  <c r="O122" i="7"/>
  <c r="N122" i="7"/>
  <c r="P122" i="7"/>
  <c r="Q122" i="7"/>
  <c r="U113" i="7"/>
  <c r="K113" i="7"/>
  <c r="N116" i="7"/>
  <c r="R113" i="7"/>
  <c r="N121" i="7"/>
  <c r="O121" i="7"/>
  <c r="K121" i="7"/>
  <c r="P121" i="7"/>
  <c r="M113" i="7"/>
  <c r="M121" i="7"/>
  <c r="L113" i="7"/>
  <c r="P117" i="7"/>
  <c r="J121" i="7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U94" i="7" l="1"/>
  <c r="S95" i="7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I15" i="4"/>
  <c r="X31" i="4"/>
  <c r="W43" i="4"/>
  <c r="X32" i="4"/>
  <c r="J26" i="4"/>
  <c r="W33" i="4"/>
  <c r="J6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J42" i="4" l="1"/>
  <c r="K42" i="4" s="1"/>
  <c r="X45" i="4"/>
  <c r="W45" i="4"/>
  <c r="AB45" i="4" s="1"/>
  <c r="I39" i="4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C45" i="4" l="1"/>
  <c r="AI5" i="4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957" i="4" l="1"/>
  <c r="K803" i="4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6" i="1" l="1"/>
  <c r="B126" i="1"/>
  <c r="X1693" i="4"/>
  <c r="W1693" i="4"/>
  <c r="I1688" i="4"/>
  <c r="J1691" i="4"/>
  <c r="I1693" i="4"/>
  <c r="I1692" i="4"/>
  <c r="J1686" i="4"/>
  <c r="I1686" i="4"/>
  <c r="I1687" i="4"/>
  <c r="J1693" i="4"/>
  <c r="J1682" i="4"/>
  <c r="I1681" i="4"/>
  <c r="J1692" i="4"/>
  <c r="J1690" i="4"/>
  <c r="I1690" i="4"/>
  <c r="I1685" i="4"/>
  <c r="I1691" i="4"/>
  <c r="X1683" i="4"/>
  <c r="I1683" i="4"/>
  <c r="J1685" i="4"/>
  <c r="W1683" i="4"/>
  <c r="I1682" i="4"/>
  <c r="J1688" i="4"/>
  <c r="I1684" i="4"/>
  <c r="J1684" i="4"/>
  <c r="J1683" i="4"/>
  <c r="J1689" i="4"/>
  <c r="J1687" i="4"/>
  <c r="J1681" i="4"/>
  <c r="K1681" i="4" s="1"/>
  <c r="I1689" i="4"/>
  <c r="A125" i="1"/>
  <c r="B125" i="1"/>
  <c r="A124" i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K1675" i="4" s="1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I1680" i="4"/>
  <c r="J1677" i="4"/>
  <c r="X1680" i="4"/>
  <c r="J1662" i="4"/>
  <c r="AA1662" i="4"/>
  <c r="I1656" i="4"/>
  <c r="X1670" i="4"/>
  <c r="J1661" i="4"/>
  <c r="J1669" i="4"/>
  <c r="W1670" i="4"/>
  <c r="J1667" i="4"/>
  <c r="AA1661" i="4"/>
  <c r="J1659" i="4"/>
  <c r="J1678" i="4"/>
  <c r="I1665" i="4"/>
  <c r="J1670" i="4"/>
  <c r="J1657" i="4"/>
  <c r="I1666" i="4"/>
  <c r="J1658" i="4"/>
  <c r="J1656" i="4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J30" i="3"/>
  <c r="I1613" i="4"/>
  <c r="J1608" i="4"/>
  <c r="I1609" i="4"/>
  <c r="J1605" i="4"/>
  <c r="I29" i="3"/>
  <c r="I1614" i="4"/>
  <c r="J1614" i="4"/>
  <c r="I30" i="3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86" i="3" l="1"/>
  <c r="K1688" i="4"/>
  <c r="K1684" i="4"/>
  <c r="K1692" i="4"/>
  <c r="K1687" i="4"/>
  <c r="K1685" i="4"/>
  <c r="K1686" i="4"/>
  <c r="K1689" i="4"/>
  <c r="K1682" i="4"/>
  <c r="AA1683" i="4"/>
  <c r="K1693" i="4"/>
  <c r="K1690" i="4"/>
  <c r="AD1683" i="4"/>
  <c r="AI1683" i="4" s="1"/>
  <c r="AB1683" i="4"/>
  <c r="AC1683" i="4"/>
  <c r="K1691" i="4"/>
  <c r="K1683" i="4"/>
  <c r="AC1693" i="4"/>
  <c r="AD1693" i="4"/>
  <c r="AI1693" i="4" s="1"/>
  <c r="AB1693" i="4"/>
  <c r="AA1693" i="4"/>
  <c r="K1656" i="4"/>
  <c r="K1638" i="4"/>
  <c r="AA1644" i="4"/>
  <c r="K1677" i="4"/>
  <c r="AA1657" i="4"/>
  <c r="K1667" i="4"/>
  <c r="K1662" i="4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28" i="3"/>
  <c r="K1610" i="4"/>
  <c r="K1355" i="4"/>
  <c r="K1600" i="4"/>
  <c r="K126" i="11"/>
  <c r="K368" i="3"/>
  <c r="K30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22" i="18" l="1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<sst xmlns="http://schemas.openxmlformats.org/spreadsheetml/2006/main" count="21949" uniqueCount="529">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</sst>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6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6" totalsRowShown="0">
  <autoFilter ref="A2:Q126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4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706" totalsRowShown="0">
  <autoFilter ref="A3:AK1706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29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45867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37.179199999979232</v>
      </c>
      <c r="E9" s="104">
        <f>-(C9-D9)/C9</f>
        <v>-8.6565709706896268E-2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1180.3769701413605</v>
      </c>
      <c r="D10" s="107">
        <f>'Monthly KPI'!$F$4</f>
        <v>1099.7458000000042</v>
      </c>
      <c r="E10" s="108">
        <f t="shared" ref="E10:E29" si="0">-(C10-D10)/C10</f>
        <v>-6.830967748523592E-2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6538.1378750264485</v>
      </c>
      <c r="D11" s="110">
        <f>'Annual KPI'!$F$4</f>
        <v>5406.1286999999829</v>
      </c>
      <c r="E11" s="111">
        <f t="shared" si="0"/>
        <v>-0.1731393856575541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0.13217861205908427</v>
      </c>
      <c r="E12" s="104">
        <f t="shared" si="0"/>
        <v>-8.6565709706896379E-2</v>
      </c>
      <c r="F12" s="190"/>
    </row>
    <row r="13" spans="1:7">
      <c r="A13" s="229"/>
      <c r="B13" s="105" t="s">
        <v>15</v>
      </c>
      <c r="C13" s="114">
        <f>'Monthly KPI'!$I$4</f>
        <v>0.14470511285127108</v>
      </c>
      <c r="D13" s="115">
        <f>'Monthly KPI'!$J$4</f>
        <v>0.13482035326193609</v>
      </c>
      <c r="E13" s="108">
        <f t="shared" si="0"/>
        <v>-6.8309677485235892E-2</v>
      </c>
      <c r="F13" s="188"/>
    </row>
    <row r="14" spans="1:7" ht="15.75" thickBot="1">
      <c r="A14" s="230"/>
      <c r="B14" s="109" t="s">
        <v>16</v>
      </c>
      <c r="C14" s="114">
        <f>'Annual KPI'!$I$4</f>
        <v>0.19370194216398987</v>
      </c>
      <c r="D14" s="117">
        <f>'Annual KPI'!$J$4</f>
        <v>0.16016450689704159</v>
      </c>
      <c r="E14" s="111">
        <f t="shared" si="0"/>
        <v>-0.17313938565755407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0.79946741164768731</v>
      </c>
      <c r="E15" s="104">
        <f t="shared" si="0"/>
        <v>6.5120840930876542E-2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0.75458849536846884</v>
      </c>
      <c r="E16" s="108">
        <f t="shared" si="0"/>
        <v>5.3291992067068354E-3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0.72809849828548701</v>
      </c>
      <c r="D17" s="117">
        <f>'Annual KPI'!$H$4</f>
        <v>0.69189164277504345</v>
      </c>
      <c r="E17" s="111">
        <f t="shared" si="0"/>
        <v>-4.9727963449592051E-2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3.968</v>
      </c>
      <c r="E18" s="104">
        <f t="shared" si="0"/>
        <v>-0.14241252711307795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134.18106448387093</v>
      </c>
      <c r="D19" s="179">
        <f>'Monthly KPI'!$D$4</f>
        <v>124.35249999999999</v>
      </c>
      <c r="E19" s="108">
        <f t="shared" si="0"/>
        <v>-7.324852073335851E-2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768.21407048387096</v>
      </c>
      <c r="D20" s="181">
        <f>'Annual KPI'!$D$4</f>
        <v>666.68499999999983</v>
      </c>
      <c r="E20" s="111">
        <f t="shared" si="0"/>
        <v>-0.13216247187443669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0.99977820459764521</v>
      </c>
      <c r="E22" s="108">
        <f t="shared" si="0"/>
        <v>4.8022156760253462E-3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0.98960294295004614</v>
      </c>
      <c r="E23" s="111">
        <f t="shared" si="0"/>
        <v>-5.4241779396521179E-3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0.99038312687510266</v>
      </c>
      <c r="E25" s="108">
        <f t="shared" si="0"/>
        <v>4.9549739980746998E-3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0.96065943949810695</v>
      </c>
      <c r="E26" s="111">
        <f t="shared" si="0"/>
        <v>-2.5206048200804763E-2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0.98574979222530612</v>
      </c>
      <c r="E27" s="124">
        <f t="shared" si="0"/>
        <v>-9.296691230848116E-3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0.98685095686844537</v>
      </c>
      <c r="E28" s="108">
        <f t="shared" si="0"/>
        <v>-8.1899930970398219E-3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0.9802735120102678</v>
      </c>
      <c r="E29" s="111">
        <f t="shared" si="0"/>
        <v>-1.4800490441941904E-2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45867</v>
      </c>
      <c r="D7" s="86">
        <f>'Daily Dashboard'!C9</f>
        <v>40.702654142805535</v>
      </c>
      <c r="E7" s="86">
        <f>'Daily Dashboard'!D9</f>
        <v>37.179199999979232</v>
      </c>
      <c r="F7" s="86">
        <f>D7-E7</f>
        <v>3.5234541428263029</v>
      </c>
    </row>
    <row r="8" spans="2:6">
      <c r="B8" s="84" t="s">
        <v>38</v>
      </c>
      <c r="C8" s="85">
        <f t="shared" ref="C8:C30" si="0">$C$7</f>
        <v>45867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45867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45867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45867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45867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45867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45867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45867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45867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45867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45867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45867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45867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45867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45867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45867</v>
      </c>
      <c r="D23" s="84">
        <f>'Daily Dashboard'!C27*100</f>
        <v>99.5</v>
      </c>
      <c r="E23" s="84">
        <f>'Daily Dashboard'!D27*100</f>
        <v>98.574979222530615</v>
      </c>
      <c r="F23" s="84">
        <f>E23-D23</f>
        <v>-0.92502077746938483</v>
      </c>
      <c r="G23" s="87">
        <f>((F23/100)*$D$7)*20%</f>
        <v>-7.5301601560490927E-2</v>
      </c>
    </row>
    <row r="24" spans="2:7">
      <c r="B24" s="84" t="s">
        <v>54</v>
      </c>
      <c r="C24" s="85">
        <f t="shared" si="0"/>
        <v>45867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45867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45867</v>
      </c>
      <c r="D26" s="88">
        <f>'Daily Dashboard'!$D$9</f>
        <v>37.179199999979232</v>
      </c>
      <c r="E26" s="88">
        <f>'Daily Dashboard'!$D$9</f>
        <v>37.179199999979232</v>
      </c>
      <c r="F26" s="88">
        <f>'Daily Dashboard'!$D$9</f>
        <v>37.179199999979232</v>
      </c>
    </row>
    <row r="27" spans="2:7">
      <c r="B27" s="84" t="s">
        <v>56</v>
      </c>
      <c r="C27" s="85">
        <f t="shared" si="0"/>
        <v>45867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45867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45867</v>
      </c>
      <c r="D29" s="84">
        <v>0</v>
      </c>
      <c r="E29" s="86">
        <f>-(F7+G30)+(SUM(G21:G23))</f>
        <v>2.9915138480844372</v>
      </c>
      <c r="F29" s="86">
        <f>E29</f>
        <v>2.9915138480844372</v>
      </c>
    </row>
    <row r="30" spans="2:7">
      <c r="B30" s="84" t="s">
        <v>59</v>
      </c>
      <c r="C30" s="85">
        <f t="shared" si="0"/>
        <v>45867</v>
      </c>
      <c r="D30" s="84">
        <f>'Daily Dashboard'!C18</f>
        <v>4.6269332580645148</v>
      </c>
      <c r="E30" s="89">
        <f>'Daily Dashboard'!D18</f>
        <v>3.968</v>
      </c>
      <c r="F30" s="84">
        <f>E30-D30</f>
        <v>-0.65893325806451486</v>
      </c>
      <c r="G30" s="83">
        <f>(F30/D30)*D7</f>
        <v>-5.7965678366865276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45867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120</v>
      </c>
      <c r="C4" s="78">
        <f>_xlfn.XLOOKUP($C$1,'Modelling New'!$D:$D,'Modelling New'!S:S)</f>
        <v>768.21407048387096</v>
      </c>
      <c r="D4" s="79">
        <f>IFERROR(SUMIFS('Daily KPI'!$I:$I,'Daily KPI'!$B:$B,$A4,'Daily KPI'!$A:$A,"&lt;="&amp;$B$1),"")</f>
        <v>666.68499999999983</v>
      </c>
      <c r="E4" s="78">
        <f>_xlfn.XLOOKUP($C$1,'Modelling New'!$D:$D,'Modelling New'!V:V)</f>
        <v>6538.1378750264485</v>
      </c>
      <c r="F4" s="79">
        <f>SUMIFS('Daily KPI'!$AA:$AA,'Daily KPI'!$B:$B,'Annual KPI'!A4,'Daily KPI'!$A:$A,"&lt;="&amp;'Annual KPI'!$B$1)/1000</f>
        <v>5406.1286999999829</v>
      </c>
      <c r="G4" s="80">
        <f>IFERROR(E4/C4/'Modelling New'!$AQ$1,"")</f>
        <v>0.72617986947429047</v>
      </c>
      <c r="H4" s="81">
        <f>IFERROR(F4/D4/'Modelling New'!$AQ$1,"")</f>
        <v>0.69189164277504345</v>
      </c>
      <c r="I4" s="80">
        <f>IFERROR(E4/(B4*24*'Modelling New'!$AQ$1),"")</f>
        <v>0.19370194216398987</v>
      </c>
      <c r="J4" s="81">
        <f>IFERROR(F4/(B4*24*'Modelling New'!$AQ$1),"")</f>
        <v>0.16016450689704159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0.96065943949810695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0.98960294295004614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0.9802735120102678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768.21407048387096</v>
      </c>
      <c r="D13" s="79">
        <f>SUMIF('Daily KPI'!$D:$D,$A13,'Daily KPI'!I:I)</f>
        <v>124.35249999999999</v>
      </c>
      <c r="E13" s="78">
        <f>_xlfn.XLOOKUP($A13,'Modelling New'!$D:$D,'Modelling New'!V:V)</f>
        <v>6538.1378750264485</v>
      </c>
      <c r="F13" s="79">
        <f>SUMIF('Daily KPI'!$D:$D,$A13,'Daily KPI'!AA:AA)/1000</f>
        <v>1099.7458000000042</v>
      </c>
      <c r="G13" s="73">
        <f>IFERROR(E13/C13/'Modelling New'!$AQ$1,"")</f>
        <v>0.72617986947429047</v>
      </c>
      <c r="H13" s="74">
        <f>IFERROR(F13/D13/'Modelling New'!$AQ$1,"")</f>
        <v>0.75458849536846884</v>
      </c>
      <c r="I13" s="73">
        <f>IFERROR(E13/(B13*24*'Modelling New'!$AQ$1),"")</f>
        <v>0.74981396966705749</v>
      </c>
      <c r="J13" s="74">
        <f>IFERROR(F13/(B13*24*'Modelling New'!$AQ$1),"")</f>
        <v>0.12612226595471443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0.99038312687510266</v>
      </c>
      <c r="M13" s="73">
        <f>_xlfn.XLOOKUP($A13,'Modelling New'!$D:$D,'Modelling New'!AE:AE)</f>
        <v>0.995</v>
      </c>
      <c r="N13" s="74">
        <f>IFERROR(AVERAGEIF('Daily KPI'!$D:$D,$A13,'Daily KPI'!O:O),"")</f>
        <v>0.99977820459764521</v>
      </c>
      <c r="O13" s="73">
        <f>_xlfn.XLOOKUP($A13,'Modelling New'!$D:$D,'Modelling New'!AG:AG)</f>
        <v>0.995</v>
      </c>
      <c r="P13" s="74">
        <f>IFERROR(AVERAGEIF('Daily KPI'!$D:$D,$A13,'Daily KPI'!T:T),"")</f>
        <v>0.98685095686844537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768.21407048387096</v>
      </c>
      <c r="D14" s="79">
        <f>SUMIF('Daily KPI'!$D:$D,$A14,'Daily KPI'!I:I)</f>
        <v>0</v>
      </c>
      <c r="E14" s="78">
        <f>_xlfn.XLOOKUP($A14,'Modelling New'!$D:$D,'Modelling New'!V:V)</f>
        <v>6538.1378750264485</v>
      </c>
      <c r="F14" s="79">
        <f>SUMIF('Daily KPI'!$D:$D,$A14,'Daily KPI'!AA:AA)/1000</f>
        <v>0</v>
      </c>
      <c r="G14" s="73">
        <f>IFERROR(E14/C14/'Modelling New'!$AQ$1,"")</f>
        <v>0.72617986947429047</v>
      </c>
      <c r="H14" s="74" t="str">
        <f>IFERROR(F14/D14/'Modelling New'!$AQ$1,"")</f>
        <v/>
      </c>
      <c r="I14" s="73">
        <f>IFERROR(E14/(B14*24*'Modelling New'!$AQ$1),"")</f>
        <v>0.74981396966705749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768.21407048387096</v>
      </c>
      <c r="D15" s="79">
        <f>SUMIF('Daily KPI'!$D:$D,$A15,'Daily KPI'!I:I)</f>
        <v>0</v>
      </c>
      <c r="E15" s="78">
        <f>_xlfn.XLOOKUP($A15,'Modelling New'!$D:$D,'Modelling New'!V:V)</f>
        <v>6538.1378750264485</v>
      </c>
      <c r="F15" s="79">
        <f>SUMIF('Daily KPI'!$D:$D,$A15,'Daily KPI'!AA:AA)/1000</f>
        <v>0</v>
      </c>
      <c r="G15" s="73">
        <f>IFERROR(E15/C15/'Modelling New'!$AQ$1,"")</f>
        <v>0.72617986947429047</v>
      </c>
      <c r="H15" s="74" t="str">
        <f>IFERROR(F15/D15/'Modelling New'!$AQ$1,"")</f>
        <v/>
      </c>
      <c r="I15" s="73">
        <f>IFERROR(E15/(B15*24*'Modelling New'!$AQ$1),"")</f>
        <v>0.77480776865595946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768.21407048387096</v>
      </c>
      <c r="D16" s="79">
        <f>SUMIF('Daily KPI'!$D:$D,$A16,'Daily KPI'!I:I)</f>
        <v>0</v>
      </c>
      <c r="E16" s="78">
        <f>_xlfn.XLOOKUP($A16,'Modelling New'!$D:$D,'Modelling New'!V:V)</f>
        <v>6538.1378750264485</v>
      </c>
      <c r="F16" s="79">
        <f>SUMIF('Daily KPI'!$D:$D,$A16,'Daily KPI'!AA:AA)/1000</f>
        <v>0</v>
      </c>
      <c r="G16" s="73">
        <f>IFERROR(E16/C16/'Modelling New'!$AQ$1,"")</f>
        <v>0.72617986947429047</v>
      </c>
      <c r="H16" s="74" t="str">
        <f>IFERROR(F16/D16/'Modelling New'!$AQ$1,"")</f>
        <v/>
      </c>
      <c r="I16" s="73">
        <f>IFERROR(E16/(B16*24*'Modelling New'!$AQ$1),"")</f>
        <v>0.74981396966705749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768.21407048387096</v>
      </c>
      <c r="D17" s="79">
        <f>SUMIF('Daily KPI'!$D:$D,$A17,'Daily KPI'!I:I)</f>
        <v>0</v>
      </c>
      <c r="E17" s="78">
        <f>_xlfn.XLOOKUP($A17,'Modelling New'!$D:$D,'Modelling New'!V:V)</f>
        <v>6538.1378750264485</v>
      </c>
      <c r="F17" s="79">
        <f>SUMIF('Daily KPI'!$D:$D,$A17,'Daily KPI'!AA:AA)/1000</f>
        <v>0</v>
      </c>
      <c r="G17" s="73">
        <f>IFERROR(E17/C17/'Modelling New'!$AQ$1,"")</f>
        <v>0.72617986947429047</v>
      </c>
      <c r="H17" s="74" t="str">
        <f>IFERROR(F17/D17/'Modelling New'!$AQ$1,"")</f>
        <v/>
      </c>
      <c r="I17" s="73">
        <f>IFERROR(E17/(B17*24*'Modelling New'!$AQ$1),"")</f>
        <v>0.77480776865595946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768.21407048387096</v>
      </c>
      <c r="D18" s="79">
        <f>SUMIF('Daily KPI'!$D:$D,$A18,'Daily KPI'!I:I)</f>
        <v>0</v>
      </c>
      <c r="E18" s="78">
        <f>_xlfn.XLOOKUP($A18,'Modelling New'!$D:$D,'Modelling New'!V:V)</f>
        <v>6538.1378750264485</v>
      </c>
      <c r="F18" s="79">
        <f>SUMIF('Daily KPI'!$D:$D,$A18,'Daily KPI'!AA:AA)/1000</f>
        <v>0</v>
      </c>
      <c r="G18" s="73">
        <f>IFERROR(E18/C18/'Modelling New'!$AQ$1,"")</f>
        <v>0.72617986947429047</v>
      </c>
      <c r="H18" s="74" t="str">
        <f>IFERROR(F18/D18/'Modelling New'!$AQ$1,"")</f>
        <v/>
      </c>
      <c r="I18" s="73">
        <f>IFERROR(E18/(B18*24*'Modelling New'!$AQ$1),"")</f>
        <v>0.74981396966705749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768.21407048387096</v>
      </c>
      <c r="D19" s="79">
        <f>SUMIF('Daily KPI'!$D:$D,$A19,'Daily KPI'!I:I)</f>
        <v>0</v>
      </c>
      <c r="E19" s="78">
        <f>_xlfn.XLOOKUP($A19,'Modelling New'!$D:$D,'Modelling New'!V:V)</f>
        <v>6538.1378750264485</v>
      </c>
      <c r="F19" s="79">
        <f>SUMIF('Daily KPI'!$D:$D,$A19,'Daily KPI'!AA:AA)/1000</f>
        <v>0</v>
      </c>
      <c r="G19" s="73">
        <f>IFERROR(E19/C19/'Modelling New'!$AQ$1,"")</f>
        <v>0.72617986947429047</v>
      </c>
      <c r="H19" s="74" t="str">
        <f>IFERROR(F19/D19/'Modelling New'!$AQ$1,"")</f>
        <v/>
      </c>
      <c r="I19" s="73">
        <f>IFERROR(E19/(B19*24*'Modelling New'!$AQ$1),"")</f>
        <v>0.74981396966705749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768.21407048387096</v>
      </c>
      <c r="D20" s="79">
        <f>SUMIF('Daily KPI'!$D:$D,$A20,'Daily KPI'!I:I)</f>
        <v>0</v>
      </c>
      <c r="E20" s="78">
        <f>_xlfn.XLOOKUP($A20,'Modelling New'!$D:$D,'Modelling New'!V:V)</f>
        <v>6538.1378750264485</v>
      </c>
      <c r="F20" s="79">
        <f>SUMIF('Daily KPI'!$D:$D,$A20,'Daily KPI'!AA:AA)/1000</f>
        <v>0</v>
      </c>
      <c r="G20" s="73">
        <f>IFERROR(E20/C20/'Modelling New'!$AQ$1,"")</f>
        <v>0.72617986947429047</v>
      </c>
      <c r="H20" s="74" t="str">
        <f>IFERROR(F20/D20/'Modelling New'!$AQ$1,"")</f>
        <v/>
      </c>
      <c r="I20" s="73">
        <f>IFERROR(E20/(B20*24*'Modelling New'!$AQ$1),"")</f>
        <v>0.83015118070281368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768.21407048387096</v>
      </c>
      <c r="D21" s="79">
        <f>SUMIF('Daily KPI'!$D:$D,$A21,'Daily KPI'!I:I)</f>
        <v>0</v>
      </c>
      <c r="E21" s="78">
        <f>_xlfn.XLOOKUP($A21,'Modelling New'!$D:$D,'Modelling New'!V:V)</f>
        <v>6538.1378750264485</v>
      </c>
      <c r="F21" s="79">
        <f>SUMIF('Daily KPI'!$D:$D,$A21,'Daily KPI'!AA:AA)/1000</f>
        <v>0</v>
      </c>
      <c r="G21" s="73">
        <f>IFERROR(E21/C21/'Modelling New'!$AQ$1,"")</f>
        <v>0.72617986947429047</v>
      </c>
      <c r="H21" s="74" t="str">
        <f>IFERROR(F21/D21/'Modelling New'!$AQ$1,"")</f>
        <v/>
      </c>
      <c r="I21" s="73">
        <f>IFERROR(E21/(B21*24*'Modelling New'!$AQ$1),"")</f>
        <v>0.74981396966705749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45867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29</v>
      </c>
      <c r="C4" s="71">
        <f>_xlfn.XLOOKUP($A$4,'Modelling New'!$D:$D,'Modelling New'!R:R)</f>
        <v>134.18106448387093</v>
      </c>
      <c r="D4" s="72">
        <f>SUMIF('Daily KPI'!$D:$D,$A$4,'Daily KPI'!I:I)</f>
        <v>124.35249999999999</v>
      </c>
      <c r="E4" s="71">
        <f>_xlfn.XLOOKUP($A$4,'Modelling New'!$D:$D,'Modelling New'!U:U)</f>
        <v>1180.3769701413605</v>
      </c>
      <c r="F4" s="72">
        <f>SUMIF('Daily KPI'!$D:$D,$A$4,'Daily KPI'!$AA:$AA)/1000</f>
        <v>1099.7458000000042</v>
      </c>
      <c r="G4" s="73">
        <f>IFERROR(E4/C4/'Modelling New'!$AQ$1,"")</f>
        <v>0.75058845994317613</v>
      </c>
      <c r="H4" s="74">
        <f>IFERROR(F4/D4/'Modelling New'!$AQ$1,"")</f>
        <v>0.75458849536846884</v>
      </c>
      <c r="I4" s="73">
        <f>IFERROR(E4/(B4*24*'Modelling New'!$AQ$1),"")</f>
        <v>0.14470511285127108</v>
      </c>
      <c r="J4" s="74">
        <f>IFERROR(F4/(B4*24*'Modelling New'!$AQ$1),"")</f>
        <v>0.13482035326193609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0.99038312687510266</v>
      </c>
      <c r="M4" s="73">
        <f>_xlfn.XLOOKUP($A$4,'Modelling New'!$D:$D,'Modelling New'!AE:AE)</f>
        <v>0.995</v>
      </c>
      <c r="N4" s="74">
        <f>IFERROR(AVERAGEIF('Daily KPI'!$D:$D,$A$4,'Daily KPI'!O:O),"")</f>
        <v>0.99977820459764521</v>
      </c>
      <c r="O4" s="73">
        <f>_xlfn.XLOOKUP($A$4,'Modelling New'!$D:$D,'Modelling New'!AG:AG)</f>
        <v>0.995</v>
      </c>
      <c r="P4" s="74">
        <f>IFERROR(AVERAGEIF('Daily KPI'!$D:$D,$A$4,'Daily KPI'!T:T),"")</f>
        <v>0.98685095686844537</v>
      </c>
    </row>
    <row r="7" spans="1:16">
      <c r="A7" s="66" t="s">
        <v>80</v>
      </c>
      <c r="B7" s="67">
        <f>B8-6</f>
        <v>45861</v>
      </c>
      <c r="D7" s="75"/>
      <c r="F7" s="75"/>
    </row>
    <row r="8" spans="1:16">
      <c r="A8" s="66" t="s">
        <v>81</v>
      </c>
      <c r="B8" s="67">
        <f>$B$1</f>
        <v>45867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19.593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185.3369000000032</v>
      </c>
      <c r="G11" s="73">
        <f>IFERROR(E11/C11/'Modelling New'!$AQ$1,"")</f>
        <v>0.75058845994317613</v>
      </c>
      <c r="H11" s="74">
        <f>IFERROR(F11/D11/'Modelling New'!$AQ$1,"")</f>
        <v>0.80711114525301131</v>
      </c>
      <c r="I11" s="73">
        <f>IFERROR(E11/(B11*24*'Modelling New'!$AQ$1),"")</f>
        <v>0.14470511285127111</v>
      </c>
      <c r="J11" s="74">
        <f>IFERROR(F11/(B11*24*'Modelling New'!$AQ$1),"")</f>
        <v>9.4129337315132455E-2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1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1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0.9859698174829824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28</v>
      </c>
      <c r="M118" s="131">
        <f>IFERROR(_xlfn.XLOOKUP($A118,'Raw Data'!$G:$G,'Raw Data'!Y:Y),"")</f>
        <v>3</v>
      </c>
      <c r="N118" s="131">
        <f>IFERROR(_xlfn.XLOOKUP($A118,'Raw Data'!$G:$G,'Raw Data'!Z:Z),"")</f>
        <v>5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>
        <f>IFERROR(_xlfn.XLOOKUP($A119,'Raw Data'!$G:$G,'Raw Data'!$AH:$AH),"")</f>
        <v>12.183333333333335</v>
      </c>
      <c r="G119" s="131">
        <f>IFERROR(_xlfn.XLOOKUP($A119,'Raw Data'!$G:$G,'Raw Data'!$S:$S)/1000,"")</f>
        <v>0</v>
      </c>
      <c r="H119" s="131"/>
      <c r="I119" s="131">
        <f>IFERROR(_xlfn.XLOOKUP($A119,'Raw Data'!$G:$G,'Raw Data'!$AF:$AF)/1000,"")</f>
        <v>1.7170000000000001</v>
      </c>
      <c r="J119" s="131"/>
      <c r="K119" s="131">
        <f>IFERROR(_xlfn.XLOOKUP($A119,'Raw Data'!$G:$G,'Raw Data'!W:W),"")</f>
        <v>23</v>
      </c>
      <c r="L119" s="131">
        <f>IFERROR(_xlfn.XLOOKUP($A119,'Raw Data'!$G:$G,'Raw Data'!X:X),"")</f>
        <v>25</v>
      </c>
      <c r="M119" s="131">
        <f>IFERROR(_xlfn.XLOOKUP($A119,'Raw Data'!$G:$G,'Raw Data'!Y:Y),"")</f>
        <v>2</v>
      </c>
      <c r="N119" s="131">
        <f>IFERROR(_xlfn.XLOOKUP($A119,'Raw Data'!$G:$G,'Raw Data'!Z:Z),"")</f>
        <v>6</v>
      </c>
      <c r="O119" s="158">
        <f>IFERROR(1-SUMIF('Plant BD'!$H:$H,$A119,'Plant BD'!AC:AC)/$F119,"")</f>
        <v>1</v>
      </c>
      <c r="P119" s="158"/>
      <c r="Q119" s="159"/>
      <c r="R119" s="158">
        <f>IFERROR(1-SUMIF('Grid BD'!$H:$H,$A119,'Grid BD'!AB:AB)/$F119,"")</f>
        <v>1</v>
      </c>
      <c r="T119" s="159">
        <f>IFERROR(1-SUMIF(Tracker_BD!$H:$H,$A119,Tracker_BD!AI:AI)/$F119,"")</f>
        <v>0.98592700913565101</v>
      </c>
      <c r="U119" s="160">
        <f t="shared" si="5"/>
        <v>0.87954524221718466</v>
      </c>
      <c r="V119" s="160"/>
      <c r="W119" s="161">
        <f t="shared" si="6"/>
        <v>6.2924132536954405E-2</v>
      </c>
      <c r="X119" s="156">
        <f>IFERROR(_xlfn.XLOOKUP($A119,'Raw Data'!$G:$G,'Raw Data'!$AB:$AB),"")</f>
        <v>17977</v>
      </c>
      <c r="Y119" s="156">
        <f>IFERROR(_xlfn.XLOOKUP($A119,'Raw Data'!$G:$G,'Raw Data'!AC:AC),"")</f>
        <v>17880.399999994552</v>
      </c>
      <c r="Z119" s="156">
        <f>IFERROR(_xlfn.XLOOKUP($A119,'Raw Data'!$G:$G,'Raw Data'!AD:AD),"")</f>
        <v>181.10000000001492</v>
      </c>
      <c r="AA119" s="156">
        <f>IFERROR(_xlfn.XLOOKUP($A119,'Raw Data'!$G:$G,'Raw Data'!AE:AE),"")</f>
        <v>17699.299999994539</v>
      </c>
      <c r="AB119" s="156">
        <f>IFERROR(_xlfn.XLOOKUP($A119,'Raw Data'!$G:$G,'Raw Data'!$H:$H),"")</f>
        <v>11.72</v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>
        <f>IFERROR(_xlfn.XLOOKUP($A120,'Raw Data'!$G:$G,'Raw Data'!$AH:$AH),"")</f>
        <v>12.183333333333335</v>
      </c>
      <c r="G120" s="131">
        <f>IFERROR(_xlfn.XLOOKUP($A120,'Raw Data'!$G:$G,'Raw Data'!$S:$S)/1000,"")</f>
        <v>0</v>
      </c>
      <c r="H120" s="131"/>
      <c r="I120" s="131">
        <f>IFERROR(_xlfn.XLOOKUP($A120,'Raw Data'!$G:$G,'Raw Data'!$AF:$AF)/1000,"")</f>
        <v>1.77</v>
      </c>
      <c r="J120" s="131"/>
      <c r="K120" s="131">
        <f>IFERROR(_xlfn.XLOOKUP($A120,'Raw Data'!$G:$G,'Raw Data'!W:W),"")</f>
        <v>23</v>
      </c>
      <c r="L120" s="131">
        <f>IFERROR(_xlfn.XLOOKUP($A120,'Raw Data'!$G:$G,'Raw Data'!X:X),"")</f>
        <v>25</v>
      </c>
      <c r="M120" s="131">
        <f>IFERROR(_xlfn.XLOOKUP($A120,'Raw Data'!$G:$G,'Raw Data'!Y:Y),"")</f>
        <v>3</v>
      </c>
      <c r="N120" s="131">
        <f>IFERROR(_xlfn.XLOOKUP($A120,'Raw Data'!$G:$G,'Raw Data'!Z:Z),"")</f>
        <v>6</v>
      </c>
      <c r="O120" s="158">
        <f>IFERROR(1-SUMIF('Plant BD'!$H:$H,$A120,'Plant BD'!AC:AC)/$F120,"")</f>
        <v>1</v>
      </c>
      <c r="P120" s="158"/>
      <c r="Q120" s="159"/>
      <c r="R120" s="158">
        <f>IFERROR(1-SUMIF('Grid BD'!$H:$H,$A120,'Grid BD'!AB:AB)/$F120,"")</f>
        <v>1</v>
      </c>
      <c r="T120" s="159">
        <f>IFERROR(1-SUMIF(Tracker_BD!$H:$H,$A120,Tracker_BD!AI:AI)/$F120,"")</f>
        <v>0.98592700913565101</v>
      </c>
      <c r="U120" s="160">
        <f t="shared" si="5"/>
        <v>0.87430342646744297</v>
      </c>
      <c r="V120" s="160"/>
      <c r="W120" s="161">
        <f t="shared" si="6"/>
        <v>6.4479877701973914E-2</v>
      </c>
      <c r="X120" s="156">
        <f>IFERROR(_xlfn.XLOOKUP($A120,'Raw Data'!$G:$G,'Raw Data'!$AB:$AB),"")</f>
        <v>18388</v>
      </c>
      <c r="Y120" s="156">
        <f>IFERROR(_xlfn.XLOOKUP($A120,'Raw Data'!$G:$G,'Raw Data'!AC:AC),"")</f>
        <v>18315.800000011222</v>
      </c>
      <c r="Z120" s="156">
        <f>IFERROR(_xlfn.XLOOKUP($A120,'Raw Data'!$G:$G,'Raw Data'!AD:AD),"")</f>
        <v>178.89999999999873</v>
      </c>
      <c r="AA120" s="156">
        <f>IFERROR(_xlfn.XLOOKUP($A120,'Raw Data'!$G:$G,'Raw Data'!AE:AE),"")</f>
        <v>18136.900000011225</v>
      </c>
      <c r="AB120" s="156">
        <f>IFERROR(_xlfn.XLOOKUP($A120,'Raw Data'!$G:$G,'Raw Data'!$H:$H),"")</f>
        <v>11.72</v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>
        <f>IFERROR(_xlfn.XLOOKUP($A121,'Raw Data'!$G:$G,'Raw Data'!$AH:$AH),"")</f>
        <v>11.983333333333334</v>
      </c>
      <c r="G121" s="131">
        <f>IFERROR(_xlfn.XLOOKUP($A121,'Raw Data'!$G:$G,'Raw Data'!$S:$S)/1000,"")</f>
        <v>0</v>
      </c>
      <c r="H121" s="131"/>
      <c r="I121" s="131">
        <f>IFERROR(_xlfn.XLOOKUP($A121,'Raw Data'!$G:$G,'Raw Data'!$AF:$AF)/1000,"")</f>
        <v>1.127</v>
      </c>
      <c r="J121" s="131"/>
      <c r="K121" s="131">
        <f>IFERROR(_xlfn.XLOOKUP($A121,'Raw Data'!$G:$G,'Raw Data'!W:W),"")</f>
        <v>23</v>
      </c>
      <c r="L121" s="131">
        <f>IFERROR(_xlfn.XLOOKUP($A121,'Raw Data'!$G:$G,'Raw Data'!X:X),"")</f>
        <v>24</v>
      </c>
      <c r="M121" s="131">
        <f>IFERROR(_xlfn.XLOOKUP($A121,'Raw Data'!$G:$G,'Raw Data'!Y:Y),"")</f>
        <v>3</v>
      </c>
      <c r="N121" s="131">
        <f>IFERROR(_xlfn.XLOOKUP($A121,'Raw Data'!$G:$G,'Raw Data'!Z:Z),"")</f>
        <v>6</v>
      </c>
      <c r="O121" s="158">
        <f>IFERROR(1-SUMIF('Plant BD'!$H:$H,$A121,'Plant BD'!AC:AC)/$F121,"")</f>
        <v>1</v>
      </c>
      <c r="P121" s="158"/>
      <c r="Q121" s="159"/>
      <c r="R121" s="158">
        <f>IFERROR(1-SUMIF('Grid BD'!$H:$H,$A121,'Grid BD'!AB:AB)/$F121,"")</f>
        <v>1</v>
      </c>
      <c r="T121" s="159">
        <f>IFERROR(1-SUMIF(Tracker_BD!$H:$H,$A121,Tracker_BD!AI:AI)/$F121,"")</f>
        <v>0.98601186194107393</v>
      </c>
      <c r="U121" s="160">
        <f t="shared" si="5"/>
        <v>0.87835505177045792</v>
      </c>
      <c r="V121" s="160"/>
      <c r="W121" s="161">
        <f t="shared" si="6"/>
        <v>4.1246089306054404E-2</v>
      </c>
      <c r="X121" s="156">
        <f>IFERROR(_xlfn.XLOOKUP($A121,'Raw Data'!$G:$G,'Raw Data'!$AB:$AB),"")</f>
        <v>11958</v>
      </c>
      <c r="Y121" s="156">
        <f>IFERROR(_xlfn.XLOOKUP($A121,'Raw Data'!$G:$G,'Raw Data'!AC:AC),"")</f>
        <v>11786.300000007031</v>
      </c>
      <c r="Z121" s="156">
        <f>IFERROR(_xlfn.XLOOKUP($A121,'Raw Data'!$G:$G,'Raw Data'!AD:AD),"")</f>
        <v>184.60000000004584</v>
      </c>
      <c r="AA121" s="156">
        <f>IFERROR(_xlfn.XLOOKUP($A121,'Raw Data'!$G:$G,'Raw Data'!AE:AE),"")</f>
        <v>11601.700000006986</v>
      </c>
      <c r="AB121" s="156">
        <f>IFERROR(_xlfn.XLOOKUP($A121,'Raw Data'!$G:$G,'Raw Data'!$H:$H),"")</f>
        <v>11.72</v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>
        <f>IFERROR(_xlfn.XLOOKUP($A122,'Raw Data'!$G:$G,'Raw Data'!$AH:$AH),"")</f>
        <v>12.599999999999998</v>
      </c>
      <c r="G122" s="131">
        <f>IFERROR(_xlfn.XLOOKUP($A122,'Raw Data'!$G:$G,'Raw Data'!$S:$S)/1000,"")</f>
        <v>0</v>
      </c>
      <c r="H122" s="131"/>
      <c r="I122" s="131">
        <f>IFERROR(_xlfn.XLOOKUP($A122,'Raw Data'!$G:$G,'Raw Data'!$AF:$AF)/1000,"")</f>
        <v>4.38</v>
      </c>
      <c r="J122" s="131"/>
      <c r="K122" s="131">
        <f>IFERROR(_xlfn.XLOOKUP($A122,'Raw Data'!$G:$G,'Raw Data'!W:W),"")</f>
        <v>23</v>
      </c>
      <c r="L122" s="131">
        <f>IFERROR(_xlfn.XLOOKUP($A122,'Raw Data'!$G:$G,'Raw Data'!X:X),"")</f>
        <v>33</v>
      </c>
      <c r="M122" s="131">
        <f>IFERROR(_xlfn.XLOOKUP($A122,'Raw Data'!$G:$G,'Raw Data'!Y:Y),"")</f>
        <v>3</v>
      </c>
      <c r="N122" s="131">
        <f>IFERROR(_xlfn.XLOOKUP($A122,'Raw Data'!$G:$G,'Raw Data'!Z:Z),"")</f>
        <v>9</v>
      </c>
      <c r="O122" s="158">
        <f>IFERROR(1-SUMIF('Plant BD'!$H:$H,$A122,'Plant BD'!AC:AC)/$F122,"")</f>
        <v>1</v>
      </c>
      <c r="P122" s="158"/>
      <c r="Q122" s="159"/>
      <c r="R122" s="158">
        <f>IFERROR(1-SUMIF('Grid BD'!$H:$H,$A122,'Grid BD'!AB:AB)/$F122,"")</f>
        <v>1</v>
      </c>
      <c r="T122" s="159">
        <f>IFERROR(1-SUMIF(Tracker_BD!$H:$H,$A122,Tracker_BD!AI:AI)/$F122,"")</f>
        <v>0.98627835553122911</v>
      </c>
      <c r="U122" s="160">
        <f t="shared" si="5"/>
        <v>0.77099404678422356</v>
      </c>
      <c r="V122" s="160"/>
      <c r="W122" s="161">
        <f t="shared" si="6"/>
        <v>0.14070641353812074</v>
      </c>
      <c r="X122" s="156">
        <f>IFERROR(_xlfn.XLOOKUP($A122,'Raw Data'!$G:$G,'Raw Data'!$AB:$AB),"")</f>
        <v>39786</v>
      </c>
      <c r="Y122" s="156">
        <f>IFERROR(_xlfn.XLOOKUP($A122,'Raw Data'!$G:$G,'Raw Data'!AC:AC),"")</f>
        <v>39771.500000002561</v>
      </c>
      <c r="Z122" s="156">
        <f>IFERROR(_xlfn.XLOOKUP($A122,'Raw Data'!$G:$G,'Raw Data'!AD:AD),"")</f>
        <v>193.5999999999467</v>
      </c>
      <c r="AA122" s="156">
        <f>IFERROR(_xlfn.XLOOKUP($A122,'Raw Data'!$G:$G,'Raw Data'!AE:AE),"")</f>
        <v>39577.900000002614</v>
      </c>
      <c r="AB122" s="156">
        <f>IFERROR(_xlfn.XLOOKUP($A122,'Raw Data'!$G:$G,'Raw Data'!$H:$H),"")</f>
        <v>11.72</v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>
        <f>IFERROR(_xlfn.XLOOKUP($A123,'Raw Data'!$G:$G,'Raw Data'!$AH:$AH),"")</f>
        <v>12.316666666666668</v>
      </c>
      <c r="G123" s="131">
        <f>IFERROR(_xlfn.XLOOKUP($A123,'Raw Data'!$G:$G,'Raw Data'!$S:$S)/1000,"")</f>
        <v>0</v>
      </c>
      <c r="H123" s="131"/>
      <c r="I123" s="131">
        <f>IFERROR(_xlfn.XLOOKUP($A123,'Raw Data'!$G:$G,'Raw Data'!$AF:$AF)/1000,"")</f>
        <v>4.5529999999999999</v>
      </c>
      <c r="J123" s="131"/>
      <c r="K123" s="131">
        <f>IFERROR(_xlfn.XLOOKUP($A123,'Raw Data'!$G:$G,'Raw Data'!W:W),"")</f>
        <v>23</v>
      </c>
      <c r="L123" s="131">
        <f>IFERROR(_xlfn.XLOOKUP($A123,'Raw Data'!$G:$G,'Raw Data'!X:X),"")</f>
        <v>33</v>
      </c>
      <c r="M123" s="131">
        <f>IFERROR(_xlfn.XLOOKUP($A123,'Raw Data'!$G:$G,'Raw Data'!Y:Y),"")</f>
        <v>4</v>
      </c>
      <c r="N123" s="131">
        <f>IFERROR(_xlfn.XLOOKUP($A123,'Raw Data'!$G:$G,'Raw Data'!Z:Z),"")</f>
        <v>8</v>
      </c>
      <c r="O123" s="158">
        <f>IFERROR(1-SUMIF('Plant BD'!$H:$H,$A123,'Plant BD'!AC:AC)/$F123,"")</f>
        <v>1</v>
      </c>
      <c r="P123" s="158"/>
      <c r="Q123" s="159"/>
      <c r="R123" s="158">
        <f>IFERROR(1-SUMIF('Grid BD'!$H:$H,$A123,'Grid BD'!AB:AB)/$F123,"")</f>
        <v>1</v>
      </c>
      <c r="T123" s="159">
        <f>IFERROR(1-SUMIF(Tracker_BD!$H:$H,$A123,Tracker_BD!AI:AI)/$F123,"")</f>
        <v>0.98588493304092206</v>
      </c>
      <c r="U123" s="160">
        <f t="shared" si="5"/>
        <v>0.75184272605773439</v>
      </c>
      <c r="V123" s="160"/>
      <c r="W123" s="161">
        <f t="shared" si="6"/>
        <v>0.14263083048920266</v>
      </c>
      <c r="X123" s="156">
        <f>IFERROR(_xlfn.XLOOKUP($A123,'Raw Data'!$G:$G,'Raw Data'!$AB:$AB),"")</f>
        <v>40304</v>
      </c>
      <c r="Y123" s="156">
        <f>IFERROR(_xlfn.XLOOKUP($A123,'Raw Data'!$G:$G,'Raw Data'!AC:AC),"")</f>
        <v>40280.70000000298</v>
      </c>
      <c r="Z123" s="156">
        <f>IFERROR(_xlfn.XLOOKUP($A123,'Raw Data'!$G:$G,'Raw Data'!AD:AD),"")</f>
        <v>161.50000000004638</v>
      </c>
      <c r="AA123" s="156">
        <f>IFERROR(_xlfn.XLOOKUP($A123,'Raw Data'!$G:$G,'Raw Data'!AE:AE),"")</f>
        <v>40119.200000002937</v>
      </c>
      <c r="AB123" s="156">
        <f>IFERROR(_xlfn.XLOOKUP($A123,'Raw Data'!$G:$G,'Raw Data'!$H:$H),"")</f>
        <v>11.72</v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>
        <f>IFERROR(_xlfn.XLOOKUP($A124,'Raw Data'!$G:$G,'Raw Data'!$AH:$AH),"")</f>
        <v>12.216666666666665</v>
      </c>
      <c r="G124" s="131">
        <f>IFERROR(_xlfn.XLOOKUP($A124,'Raw Data'!$G:$G,'Raw Data'!$S:$S)/1000,"")</f>
        <v>0</v>
      </c>
      <c r="H124" s="131"/>
      <c r="I124" s="131">
        <f>IFERROR(_xlfn.XLOOKUP($A124,'Raw Data'!$G:$G,'Raw Data'!$AF:$AF)/1000,"")</f>
        <v>3.968</v>
      </c>
      <c r="J124" s="131"/>
      <c r="K124" s="131">
        <f>IFERROR(_xlfn.XLOOKUP($A124,'Raw Data'!$G:$G,'Raw Data'!W:W),"")</f>
        <v>23</v>
      </c>
      <c r="L124" s="131">
        <f>IFERROR(_xlfn.XLOOKUP($A124,'Raw Data'!$G:$G,'Raw Data'!X:X),"")</f>
        <v>32</v>
      </c>
      <c r="M124" s="131">
        <f>IFERROR(_xlfn.XLOOKUP($A124,'Raw Data'!$G:$G,'Raw Data'!Y:Y),"")</f>
        <v>4</v>
      </c>
      <c r="N124" s="131">
        <f>IFERROR(_xlfn.XLOOKUP($A124,'Raw Data'!$G:$G,'Raw Data'!Z:Z),"")</f>
        <v>8</v>
      </c>
      <c r="O124" s="158">
        <f>IFERROR(1-SUMIF('Plant BD'!$H:$H,$A124,'Plant BD'!AC:AC)/$F124,"")</f>
        <v>1</v>
      </c>
      <c r="P124" s="158"/>
      <c r="Q124" s="159"/>
      <c r="R124" s="158">
        <f>IFERROR(1-SUMIF('Grid BD'!$H:$H,$A124,'Grid BD'!AB:AB)/$F124,"")</f>
        <v>1</v>
      </c>
      <c r="T124" s="159">
        <f>IFERROR(1-SUMIF(Tracker_BD!$H:$H,$A124,Tracker_BD!AI:AI)/$F124,"")</f>
        <v>0.98574979222530612</v>
      </c>
      <c r="U124" s="160">
        <f t="shared" si="5"/>
        <v>0.79946741164768731</v>
      </c>
      <c r="V124" s="160"/>
      <c r="W124" s="161">
        <f t="shared" si="6"/>
        <v>0.13217861205908427</v>
      </c>
      <c r="X124" s="156">
        <f>IFERROR(_xlfn.XLOOKUP($A124,'Raw Data'!$G:$G,'Raw Data'!$AB:$AB),"")</f>
        <v>37389</v>
      </c>
      <c r="Y124" s="156">
        <f>IFERROR(_xlfn.XLOOKUP($A124,'Raw Data'!$G:$G,'Raw Data'!AC:AC),"")</f>
        <v>37347.599999979138</v>
      </c>
      <c r="Z124" s="156">
        <f>IFERROR(_xlfn.XLOOKUP($A124,'Raw Data'!$G:$G,'Raw Data'!AD:AD),"")</f>
        <v>168.39999999990596</v>
      </c>
      <c r="AA124" s="156">
        <f>IFERROR(_xlfn.XLOOKUP($A124,'Raw Data'!$G:$G,'Raw Data'!AE:AE),"")</f>
        <v>37179.199999979232</v>
      </c>
      <c r="AB124" s="156">
        <f>IFERROR(_xlfn.XLOOKUP($A124,'Raw Data'!$G:$G,'Raw Data'!$H:$H),"")</f>
        <v>11.72</v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6"/>
  <sheetViews>
    <sheetView zoomScale="98" zoomScaleNormal="98" workbookViewId="0">
      <pane xSplit="7" ySplit="3" topLeftCell="Q123" activePane="bottomRight" state="frozen"/>
      <selection pane="topRight" activeCell="H1" sqref="H1"/>
      <selection pane="bottomLeft" activeCell="A4" sqref="A4"/>
      <selection pane="bottomRight" activeCell="Y125" sqref="Y125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6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f>IFERROR(Raw_Data[[#This Row],[Avg. POA without Exclusion (W/m2)2]]-Raw_Data[[#This Row],[Avg. POA Lost (W/m2)]],"")</f>
        <v>6557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f>IFERROR(Raw_Data[[#This Row],[Avg. POA without Exclusion (W/m2)2]]-Raw_Data[[#This Row],[Avg. POA Lost (W/m2)]],"")</f>
        <v>5547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f>IFERROR(Raw_Data[[#This Row],[Avg. POA without Exclusion (W/m2)2]]-Raw_Data[[#This Row],[Avg. POA Lost (W/m2)]],"")</f>
        <v>4534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f>IFERROR(Raw_Data[[#This Row],[Avg. POA without Exclusion (W/m2)2]]-Raw_Data[[#This Row],[Avg. POA Lost (W/m2)]],"")</f>
        <v>2078</v>
      </c>
      <c r="AH120" s="35">
        <f t="shared" ref="AH120" si="98">IFERROR((J120-I120)*24,"")</f>
        <v>12.050000000000002</v>
      </c>
      <c r="AI120" s="2"/>
    </row>
    <row r="121" spans="1:35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9">
        <v>45839</v>
      </c>
      <c r="F121" s="2">
        <f>DAY(EOMONTH(Raw_Data[[#This Row],[Month Year]],0))</f>
        <v>31</v>
      </c>
      <c r="G121" s="63">
        <f t="shared" si="4"/>
        <v>45862</v>
      </c>
      <c r="H121" s="2">
        <v>11.72</v>
      </c>
      <c r="I121" s="219">
        <v>0.26319444444444445</v>
      </c>
      <c r="J121" s="218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f>IFERROR(Raw_Data[[#This Row],[Avg. POA without Exclusion (W/m2)2]]-Raw_Data[[#This Row],[Avg. POA Lost (W/m2)]],"")</f>
        <v>1717</v>
      </c>
      <c r="AH121" s="35">
        <f t="shared" ref="AH121" si="99">IFERROR((J121-I121)*24,"")</f>
        <v>12.183333333333335</v>
      </c>
      <c r="AI121" s="2"/>
    </row>
    <row r="122" spans="1:35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9">
        <v>45839</v>
      </c>
      <c r="F122" s="2">
        <f>DAY(EOMONTH(Raw_Data[[#This Row],[Month Year]],0))</f>
        <v>31</v>
      </c>
      <c r="G122" s="63">
        <f t="shared" si="4"/>
        <v>45863</v>
      </c>
      <c r="H122" s="2">
        <v>11.72</v>
      </c>
      <c r="I122" s="219">
        <v>0.26319444444444445</v>
      </c>
      <c r="J122" s="218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f>IFERROR(Raw_Data[[#This Row],[Avg. POA without Exclusion (W/m2)2]]-Raw_Data[[#This Row],[Avg. POA Lost (W/m2)]],"")</f>
        <v>1770</v>
      </c>
      <c r="AH122" s="35">
        <f t="shared" ref="AH122" si="100">IFERROR((J122-I122)*24,"")</f>
        <v>12.183333333333335</v>
      </c>
      <c r="AI122" s="2"/>
    </row>
    <row r="123" spans="1:35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9">
        <v>45839</v>
      </c>
      <c r="F123" s="2">
        <f>DAY(EOMONTH(Raw_Data[[#This Row],[Month Year]],0))</f>
        <v>31</v>
      </c>
      <c r="G123" s="63">
        <f t="shared" si="4"/>
        <v>45864</v>
      </c>
      <c r="H123" s="2">
        <v>11.72</v>
      </c>
      <c r="I123" s="219">
        <v>0.27430555555555558</v>
      </c>
      <c r="J123" s="218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f>IFERROR(Raw_Data[[#This Row],[Avg. POA without Exclusion (W/m2)2]]-Raw_Data[[#This Row],[Avg. POA Lost (W/m2)]],"")</f>
        <v>1127</v>
      </c>
      <c r="AH123" s="35">
        <f t="shared" ref="AH123" si="101">IFERROR((J123-I123)*24,"")</f>
        <v>11.983333333333334</v>
      </c>
      <c r="AI123" s="2"/>
    </row>
    <row r="124" spans="1:35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9">
        <v>45839</v>
      </c>
      <c r="F124" s="2">
        <f>DAY(EOMONTH(Raw_Data[[#This Row],[Month Year]],0))</f>
        <v>31</v>
      </c>
      <c r="G124" s="63">
        <f t="shared" si="4"/>
        <v>45865</v>
      </c>
      <c r="H124" s="2">
        <v>11.72</v>
      </c>
      <c r="I124" s="219">
        <v>0.2590277777777778</v>
      </c>
      <c r="J124" s="218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">
        <f>SUM(Raw_Data[[#This Row],[IC1_Inv1]:[IC2_Inv2]])</f>
        <v>39786</v>
      </c>
      <c r="AC124" s="2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">
        <f>Raw_Data[[#This Row],[Export  (kWh)]]-Raw_Data[[#This Row],[Import (kWh)]]</f>
        <v>39577.900000002614</v>
      </c>
      <c r="AF124" s="2">
        <f>IFERROR(AVERAGE(Raw_Data[[#This Row],[POA1(Wh/m2)]:[POA2(Wh/m2)]]),"")</f>
        <v>4380</v>
      </c>
      <c r="AG124" s="2">
        <f>IFERROR(Raw_Data[[#This Row],[Avg. POA without Exclusion (W/m2)2]]-Raw_Data[[#This Row],[Avg. POA Lost (W/m2)]],"")</f>
        <v>4380</v>
      </c>
      <c r="AH124" s="35">
        <f t="shared" ref="AH124" si="102">IFERROR((J124-I124)*24,"")</f>
        <v>12.599999999999998</v>
      </c>
      <c r="AI124" s="2"/>
    </row>
    <row r="125" spans="1:35">
      <c r="A125" s="2">
        <f>YEAR(Raw_Data[[#This Row],[Date]])+IF(MONTH(Raw_Data[[#This Row],[Date]])&gt;=4,1,0)</f>
        <v>2026</v>
      </c>
      <c r="B125" s="2">
        <f>YEAR(Raw_Data[[#This Row],[Date]])</f>
        <v>2025</v>
      </c>
      <c r="C125" s="2" t="s">
        <v>155</v>
      </c>
      <c r="D125" s="2" t="s">
        <v>155</v>
      </c>
      <c r="E125" s="39">
        <v>45839</v>
      </c>
      <c r="F125" s="2">
        <f>DAY(EOMONTH(Raw_Data[[#This Row],[Month Year]],0))</f>
        <v>31</v>
      </c>
      <c r="G125" s="63">
        <f t="shared" si="4"/>
        <v>45866</v>
      </c>
      <c r="H125" s="2">
        <v>11.72</v>
      </c>
      <c r="I125" s="219">
        <v>0.25624999999999998</v>
      </c>
      <c r="J125" s="218">
        <v>0.76944444444444449</v>
      </c>
      <c r="K125" s="2">
        <v>6736</v>
      </c>
      <c r="L125" s="2">
        <v>6934</v>
      </c>
      <c r="M125" s="2">
        <v>6063</v>
      </c>
      <c r="N125" s="2">
        <v>6516</v>
      </c>
      <c r="O125" s="2">
        <v>6957</v>
      </c>
      <c r="P125" s="2">
        <v>7098</v>
      </c>
      <c r="Q125" s="2">
        <v>132793.78580000001</v>
      </c>
      <c r="R125" s="2">
        <v>571.54420000000005</v>
      </c>
      <c r="S125" s="2">
        <v>0</v>
      </c>
      <c r="T125" s="2">
        <v>4553</v>
      </c>
      <c r="U125" s="2">
        <v>4553</v>
      </c>
      <c r="V125" s="2">
        <v>0</v>
      </c>
      <c r="W125" s="2">
        <v>23</v>
      </c>
      <c r="X125" s="2">
        <v>33</v>
      </c>
      <c r="Y125" s="2">
        <v>4</v>
      </c>
      <c r="Z125" s="2">
        <v>8</v>
      </c>
      <c r="AA125" s="2">
        <v>0</v>
      </c>
      <c r="AB125" s="2">
        <f>SUM(Raw_Data[[#This Row],[IC1_Inv1]:[IC2_Inv2]])</f>
        <v>40304</v>
      </c>
      <c r="AC125" s="2">
        <f>IF(Raw_Data[[#This Row],[33 kV Outgoinng Export Reading]]-Q124&gt;0,Raw_Data[[#This Row],[33 kV Outgoinng Export Reading]]-Q124,0)*1000</f>
        <v>40280.70000000298</v>
      </c>
      <c r="AD125" s="2">
        <f>IF(Raw_Data[[#This Row],[33 kV Outgoinng Import Reading]]-R124&gt;0,Raw_Data[[#This Row],[33 kV Outgoinng Import Reading]]-R124,0)*1000</f>
        <v>161.50000000004638</v>
      </c>
      <c r="AE125" s="2">
        <f>Raw_Data[[#This Row],[Export  (kWh)]]-Raw_Data[[#This Row],[Import (kWh)]]</f>
        <v>40119.200000002937</v>
      </c>
      <c r="AF125" s="2">
        <f>IFERROR(AVERAGE(Raw_Data[[#This Row],[POA1(Wh/m2)]:[POA2(Wh/m2)]]),"")</f>
        <v>4553</v>
      </c>
      <c r="AG125" s="2">
        <f>IFERROR(Raw_Data[[#This Row],[Avg. POA without Exclusion (W/m2)2]]-Raw_Data[[#This Row],[Avg. POA Lost (W/m2)]],"")</f>
        <v>4553</v>
      </c>
      <c r="AH125" s="35">
        <f t="shared" ref="AH125" si="103">IFERROR((J125-I125)*24,"")</f>
        <v>12.316666666666668</v>
      </c>
      <c r="AI125" s="2"/>
    </row>
    <row r="126" spans="1:35">
      <c r="A126" s="2">
        <f>YEAR(Raw_Data[[#This Row],[Date]])+IF(MONTH(Raw_Data[[#This Row],[Date]])&gt;=4,1,0)</f>
        <v>2026</v>
      </c>
      <c r="B126" s="2">
        <f>YEAR(Raw_Data[[#This Row],[Date]])</f>
        <v>2025</v>
      </c>
      <c r="C126" s="2" t="s">
        <v>155</v>
      </c>
      <c r="D126" s="2" t="s">
        <v>155</v>
      </c>
      <c r="E126" s="39">
        <v>45839</v>
      </c>
      <c r="F126" s="2">
        <f>DAY(EOMONTH(Raw_Data[[#This Row],[Month Year]],0))</f>
        <v>31</v>
      </c>
      <c r="G126" s="63">
        <f t="shared" si="4"/>
        <v>45867</v>
      </c>
      <c r="H126" s="2">
        <v>11.72</v>
      </c>
      <c r="I126" s="219">
        <v>0.25555555555555554</v>
      </c>
      <c r="J126" s="218">
        <v>0.76458333333333328</v>
      </c>
      <c r="K126" s="2">
        <v>6355</v>
      </c>
      <c r="L126" s="2">
        <v>6508</v>
      </c>
      <c r="M126" s="2">
        <v>5704</v>
      </c>
      <c r="N126" s="2">
        <v>5979</v>
      </c>
      <c r="O126" s="2">
        <v>6296</v>
      </c>
      <c r="P126" s="2">
        <v>6547</v>
      </c>
      <c r="Q126" s="2">
        <v>132831.13339999999</v>
      </c>
      <c r="R126" s="2">
        <v>571.71259999999995</v>
      </c>
      <c r="S126" s="2">
        <v>0</v>
      </c>
      <c r="T126" s="2">
        <v>3968</v>
      </c>
      <c r="U126" s="2">
        <v>3968</v>
      </c>
      <c r="V126" s="2">
        <v>0</v>
      </c>
      <c r="W126" s="2">
        <v>23</v>
      </c>
      <c r="X126" s="2">
        <v>32</v>
      </c>
      <c r="Y126" s="2">
        <v>4</v>
      </c>
      <c r="Z126" s="2">
        <v>8</v>
      </c>
      <c r="AA126" s="2">
        <v>0</v>
      </c>
      <c r="AB126" s="2">
        <f>SUM(Raw_Data[[#This Row],[IC1_Inv1]:[IC2_Inv2]])</f>
        <v>37389</v>
      </c>
      <c r="AC126" s="2">
        <f>IF(Raw_Data[[#This Row],[33 kV Outgoinng Export Reading]]-Q125&gt;0,Raw_Data[[#This Row],[33 kV Outgoinng Export Reading]]-Q125,0)*1000</f>
        <v>37347.599999979138</v>
      </c>
      <c r="AD126" s="2">
        <f>IF(Raw_Data[[#This Row],[33 kV Outgoinng Import Reading]]-R125&gt;0,Raw_Data[[#This Row],[33 kV Outgoinng Import Reading]]-R125,0)*1000</f>
        <v>168.39999999990596</v>
      </c>
      <c r="AE126" s="2">
        <f>Raw_Data[[#This Row],[Export  (kWh)]]-Raw_Data[[#This Row],[Import (kWh)]]</f>
        <v>37179.199999979232</v>
      </c>
      <c r="AF126" s="2">
        <f>IFERROR(AVERAGE(Raw_Data[[#This Row],[POA1(Wh/m2)]:[POA2(Wh/m2)]]),"")</f>
        <v>3968</v>
      </c>
      <c r="AG126" s="2">
        <f>IFERROR(Raw_Data[[#This Row],[Avg. POA without Exclusion (W/m2)2]]-Raw_Data[[#This Row],[Avg. POA Lost (W/m2)]],"")</f>
        <v>3968</v>
      </c>
      <c r="AH126" s="35">
        <f t="shared" ref="AH126" si="104">IFERROR((J126-I126)*24,"")</f>
        <v>12.216666666666665</v>
      </c>
      <c r="AI126" s="2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29</v>
      </c>
      <c r="R41" s="141">
        <f t="shared" si="42"/>
        <v>134.18106448387093</v>
      </c>
      <c r="S41" s="149">
        <f>SUMIF($F$2:F41,F41,$R$2:R41)</f>
        <v>768.21407048387096</v>
      </c>
      <c r="T41" s="140">
        <f t="shared" si="43"/>
        <v>40.702654142805535</v>
      </c>
      <c r="U41" s="141">
        <f t="shared" si="44"/>
        <v>1180.3769701413605</v>
      </c>
      <c r="V41" s="149">
        <f>SUMIF($F$2:F41,F41,$U$2:U41)</f>
        <v>6538.1378750264485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0.19370194216398984</v>
      </c>
      <c r="Z41" s="140">
        <f>IFERROR(AVERAGEIF('Daily KPI'!D:D,Table14[[#This Row],[Month]],'Daily KPI'!AB:AB),"")</f>
        <v>11.720000000000008</v>
      </c>
      <c r="AA41" s="143">
        <f>IFERROR(AVERAGEIF($F$2:F41,F41,$Z$2:Z41),"")</f>
        <v>11.720000000000008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768.21407048387096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6538.1378750264485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0.19370194216398984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11.720000000000008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768.21407048387096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6538.1378750264485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0.19370194216398984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11.720000000000008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768.21407048387096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6538.1378750264485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0.19370194216398984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11.720000000000008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768.21407048387096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6538.1378750264485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0.19370194216398984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11.720000000000008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768.21407048387096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6538.1378750264485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0.19370194216398984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11.720000000000008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768.21407048387096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6538.1378750264485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0.19370194216398984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11.720000000000008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768.21407048387096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6538.1378750264485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0.19370194216398984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11.720000000000008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768.21407048387096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6538.1378750264485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0.19370194216398984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11.720000000000008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6"/>
  <sheetViews>
    <sheetView topLeftCell="A2" workbookViewId="0">
      <pane xSplit="1" ySplit="1" topLeftCell="B111" activePane="bottomRight" state="frozen"/>
      <selection pane="topRight" activeCell="B2" sqref="B2"/>
      <selection pane="bottomLeft" activeCell="A3" sqref="A3"/>
      <selection pane="bottomRight" activeCell="A127" sqref="A127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26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  <row r="120" spans="1:17">
      <c r="A120" s="214">
        <f t="shared" ref="A120" si="449">YEAR(H120)+IF(MONTH(H120)&gt;=4,1,0)</f>
        <v>2026</v>
      </c>
      <c r="B120" s="215">
        <f t="shared" ref="B120" si="450">YEAR(H120)</f>
        <v>2025</v>
      </c>
      <c r="C120" s="196">
        <f>YEAR(Table12[[#This Row],[Date]])</f>
        <v>2025</v>
      </c>
      <c r="D120" s="196" t="s">
        <v>155</v>
      </c>
      <c r="E120" s="196" t="s">
        <v>155</v>
      </c>
      <c r="F120" s="197">
        <v>45839</v>
      </c>
      <c r="G120" s="196">
        <f t="shared" ref="G120" si="451">DAY(EOMONTH(F120,0))</f>
        <v>31</v>
      </c>
      <c r="H120" s="198">
        <f t="shared" si="239"/>
        <v>45862</v>
      </c>
      <c r="I120" s="199">
        <f>'Modelling New'!$AQ$1</f>
        <v>11.72</v>
      </c>
      <c r="J120" s="30">
        <f>'Raw Data'!K121/J$1</f>
        <v>1.5545409953590161</v>
      </c>
      <c r="K120" s="30">
        <f>'Raw Data'!L121/K$1</f>
        <v>1.5350493918634505</v>
      </c>
      <c r="L120" s="30">
        <f>'Raw Data'!M121/L$1</f>
        <v>1.5415015387340314</v>
      </c>
      <c r="M120" s="30">
        <f>'Raw Data'!N121/M$1</f>
        <v>1.5395248614292103</v>
      </c>
      <c r="N120" s="30">
        <f>'Raw Data'!O121/N$1</f>
        <v>1.4860613680972028</v>
      </c>
      <c r="O120" s="30">
        <f>'Raw Data'!P121/O$1</f>
        <v>1.5554455445544555</v>
      </c>
      <c r="P120" s="30">
        <f t="shared" ref="P120" si="452">IFERROR(AVERAGEIF(J120:O120,"&gt;"&amp;0,J120:O120),"")</f>
        <v>1.5353539500062279</v>
      </c>
      <c r="Q120" s="30">
        <f t="shared" ref="Q120" si="453">MAXA(J120:O120)</f>
        <v>1.5554455445544555</v>
      </c>
    </row>
    <row r="121" spans="1:17">
      <c r="A121" s="214">
        <f t="shared" ref="A121" si="454">YEAR(H121)+IF(MONTH(H121)&gt;=4,1,0)</f>
        <v>2026</v>
      </c>
      <c r="B121" s="215">
        <f t="shared" ref="B121" si="455">YEAR(H121)</f>
        <v>2025</v>
      </c>
      <c r="C121" s="196">
        <f>YEAR(Table12[[#This Row],[Date]])</f>
        <v>2025</v>
      </c>
      <c r="D121" s="196" t="s">
        <v>155</v>
      </c>
      <c r="E121" s="196" t="s">
        <v>155</v>
      </c>
      <c r="F121" s="197">
        <v>45839</v>
      </c>
      <c r="G121" s="196">
        <f t="shared" ref="G121" si="456">DAY(EOMONTH(F121,0))</f>
        <v>31</v>
      </c>
      <c r="H121" s="198">
        <f t="shared" si="239"/>
        <v>45863</v>
      </c>
      <c r="I121" s="199">
        <f>'Modelling New'!$AQ$1</f>
        <v>11.72</v>
      </c>
      <c r="J121" s="30">
        <f>'Raw Data'!K122/J$1</f>
        <v>1.5872416959086393</v>
      </c>
      <c r="K121" s="30">
        <f>'Raw Data'!L122/K$1</f>
        <v>1.589204437759852</v>
      </c>
      <c r="L121" s="30">
        <f>'Raw Data'!M122/L$1</f>
        <v>1.5863351561981092</v>
      </c>
      <c r="M121" s="30">
        <f>'Raw Data'!N122/M$1</f>
        <v>1.5698816896827441</v>
      </c>
      <c r="N121" s="30">
        <f>'Raw Data'!O122/N$1</f>
        <v>1.5043772477173216</v>
      </c>
      <c r="O121" s="30">
        <f>'Raw Data'!P122/O$1</f>
        <v>1.5861386138613862</v>
      </c>
      <c r="P121" s="30">
        <f t="shared" ref="P121" si="457">IFERROR(AVERAGEIF(J121:O121,"&gt;"&amp;0,J121:O121),"")</f>
        <v>1.5705298068546754</v>
      </c>
      <c r="Q121" s="30">
        <f t="shared" ref="Q121" si="458">MAXA(J121:O121)</f>
        <v>1.589204437759852</v>
      </c>
    </row>
    <row r="122" spans="1:17">
      <c r="A122" s="214">
        <f t="shared" ref="A122" si="459">YEAR(H122)+IF(MONTH(H122)&gt;=4,1,0)</f>
        <v>2026</v>
      </c>
      <c r="B122" s="215">
        <f t="shared" ref="B122" si="460">YEAR(H122)</f>
        <v>2025</v>
      </c>
      <c r="C122" s="196">
        <f>YEAR(Table12[[#This Row],[Date]])</f>
        <v>2025</v>
      </c>
      <c r="D122" s="196" t="s">
        <v>155</v>
      </c>
      <c r="E122" s="196" t="s">
        <v>155</v>
      </c>
      <c r="F122" s="197">
        <v>45839</v>
      </c>
      <c r="G122" s="196">
        <f t="shared" ref="G122" si="461">DAY(EOMONTH(F122,0))</f>
        <v>31</v>
      </c>
      <c r="H122" s="198">
        <f t="shared" si="239"/>
        <v>45864</v>
      </c>
      <c r="I122" s="199">
        <f>'Modelling New'!$AQ$1</f>
        <v>11.72</v>
      </c>
      <c r="J122" s="30">
        <f>'Raw Data'!K123/J$1</f>
        <v>1.03233596196657</v>
      </c>
      <c r="K122" s="30">
        <f>'Raw Data'!L123/K$1</f>
        <v>1.0289458720316267</v>
      </c>
      <c r="L122" s="30">
        <f>'Raw Data'!M123/L$1</f>
        <v>1.0278521929727455</v>
      </c>
      <c r="M122" s="30">
        <f>'Raw Data'!N123/M$1</f>
        <v>1.028337557088455</v>
      </c>
      <c r="N122" s="30">
        <f>'Raw Data'!O123/N$1</f>
        <v>0.97816697646904494</v>
      </c>
      <c r="O122" s="30">
        <f>'Raw Data'!P123/O$1</f>
        <v>1.0326732673267327</v>
      </c>
      <c r="P122" s="30">
        <f t="shared" ref="P122" si="462">IFERROR(AVERAGEIF(J122:O122,"&gt;"&amp;0,J122:O122),"")</f>
        <v>1.0213853046425292</v>
      </c>
      <c r="Q122" s="30">
        <f t="shared" ref="Q122" si="463">MAXA(J122:O122)</f>
        <v>1.0326732673267327</v>
      </c>
    </row>
    <row r="123" spans="1:17">
      <c r="A123" s="214">
        <f t="shared" ref="A123" si="464">YEAR(H123)+IF(MONTH(H123)&gt;=4,1,0)</f>
        <v>2026</v>
      </c>
      <c r="B123" s="215">
        <f t="shared" ref="B123" si="465">YEAR(H123)</f>
        <v>2025</v>
      </c>
      <c r="C123" s="196">
        <f>YEAR(Table12[[#This Row],[Date]])</f>
        <v>2025</v>
      </c>
      <c r="D123" s="196" t="s">
        <v>155</v>
      </c>
      <c r="E123" s="196" t="s">
        <v>155</v>
      </c>
      <c r="F123" s="197">
        <v>45839</v>
      </c>
      <c r="G123" s="196">
        <f t="shared" ref="G123" si="466">DAY(EOMONTH(F123,0))</f>
        <v>31</v>
      </c>
      <c r="H123" s="198">
        <f t="shared" si="239"/>
        <v>45865</v>
      </c>
      <c r="I123" s="199">
        <f>'Modelling New'!$AQ$1</f>
        <v>11.72</v>
      </c>
      <c r="J123" s="30">
        <f>'Raw Data'!K124/J$1</f>
        <v>3.4054006464676956</v>
      </c>
      <c r="K123" s="30">
        <f>'Raw Data'!L124/K$1</f>
        <v>3.38124413833168</v>
      </c>
      <c r="L123" s="30">
        <f>'Raw Data'!M124/L$1</f>
        <v>3.3381672459981844</v>
      </c>
      <c r="M123" s="30">
        <f>'Raw Data'!N124/M$1</f>
        <v>3.4400791445879468</v>
      </c>
      <c r="N123" s="30">
        <f>'Raw Data'!O124/N$1</f>
        <v>3.3567562082168996</v>
      </c>
      <c r="O123" s="30">
        <f>'Raw Data'!P124/O$1</f>
        <v>3.4608910891089111</v>
      </c>
      <c r="P123" s="30">
        <f t="shared" ref="P123" si="467">IFERROR(AVERAGEIF(J123:O123,"&gt;"&amp;0,J123:O123),"")</f>
        <v>3.3970897454518867</v>
      </c>
      <c r="Q123" s="30">
        <f t="shared" ref="Q123" si="468">MAXA(J123:O123)</f>
        <v>3.4608910891089111</v>
      </c>
    </row>
    <row r="124" spans="1:17">
      <c r="A124" s="214">
        <f t="shared" ref="A124" si="469">YEAR(H124)+IF(MONTH(H124)&gt;=4,1,0)</f>
        <v>2026</v>
      </c>
      <c r="B124" s="215">
        <f t="shared" ref="B124" si="470">YEAR(H124)</f>
        <v>2025</v>
      </c>
      <c r="C124" s="196">
        <f>YEAR(Table12[[#This Row],[Date]])</f>
        <v>2025</v>
      </c>
      <c r="D124" s="196" t="s">
        <v>155</v>
      </c>
      <c r="E124" s="196" t="s">
        <v>155</v>
      </c>
      <c r="F124" s="197">
        <v>45839</v>
      </c>
      <c r="G124" s="196">
        <f t="shared" ref="G124" si="471">DAY(EOMONTH(F124,0))</f>
        <v>31</v>
      </c>
      <c r="H124" s="198">
        <f t="shared" si="239"/>
        <v>45866</v>
      </c>
      <c r="I124" s="199">
        <f>'Modelling New'!$AQ$1</f>
        <v>11.72</v>
      </c>
      <c r="J124" s="30">
        <f>'Raw Data'!K125/J$1</f>
        <v>3.3887987523425021</v>
      </c>
      <c r="K124" s="30">
        <f>'Raw Data'!L125/K$1</f>
        <v>3.413737165869521</v>
      </c>
      <c r="L124" s="30">
        <f>'Raw Data'!M125/L$1</f>
        <v>3.3558792924037459</v>
      </c>
      <c r="M124" s="30">
        <f>'Raw Data'!N125/M$1</f>
        <v>3.5322338017861741</v>
      </c>
      <c r="N124" s="30">
        <f>'Raw Data'!O125/N$1</f>
        <v>3.443880392355843</v>
      </c>
      <c r="O124" s="30">
        <f>'Raw Data'!P125/O$1</f>
        <v>3.5138613861386139</v>
      </c>
      <c r="P124" s="30">
        <f t="shared" ref="P124" si="472">IFERROR(AVERAGEIF(J124:O124,"&gt;"&amp;0,J124:O124),"")</f>
        <v>3.4413984651493998</v>
      </c>
      <c r="Q124" s="30">
        <f t="shared" ref="Q124" si="473">MAXA(J124:O124)</f>
        <v>3.5322338017861741</v>
      </c>
    </row>
    <row r="125" spans="1:17">
      <c r="A125" s="214">
        <f t="shared" ref="A125" si="474">YEAR(H125)+IF(MONTH(H125)&gt;=4,1,0)</f>
        <v>2026</v>
      </c>
      <c r="B125" s="215">
        <f t="shared" ref="B125" si="475">YEAR(H125)</f>
        <v>2025</v>
      </c>
      <c r="C125" s="196">
        <f>YEAR(Table12[[#This Row],[Date]])</f>
        <v>2025</v>
      </c>
      <c r="D125" s="196" t="s">
        <v>155</v>
      </c>
      <c r="E125" s="196" t="s">
        <v>155</v>
      </c>
      <c r="F125" s="197">
        <v>45839</v>
      </c>
      <c r="G125" s="196">
        <f t="shared" ref="G125" si="476">DAY(EOMONTH(F125,0))</f>
        <v>31</v>
      </c>
      <c r="H125" s="198">
        <f t="shared" si="239"/>
        <v>45867</v>
      </c>
      <c r="I125" s="199">
        <f>'Modelling New'!$AQ$1</f>
        <v>11.72</v>
      </c>
      <c r="J125" s="30">
        <f>'Raw Data'!K126/J$1</f>
        <v>3.1971223383516332</v>
      </c>
      <c r="K125" s="30">
        <f>'Raw Data'!L126/K$1</f>
        <v>3.20400944267073</v>
      </c>
      <c r="L125" s="30">
        <f>'Raw Data'!M126/L$1</f>
        <v>3.1571722717913522</v>
      </c>
      <c r="M125" s="30">
        <f>'Raw Data'!N126/M$1</f>
        <v>3.2411335022835384</v>
      </c>
      <c r="N125" s="30">
        <f>'Raw Data'!O126/N$1</f>
        <v>3.1166696780612888</v>
      </c>
      <c r="O125" s="30">
        <f>'Raw Data'!P126/O$1</f>
        <v>3.2410891089108911</v>
      </c>
      <c r="P125" s="30">
        <f t="shared" ref="P125" si="477">IFERROR(AVERAGEIF(J125:O125,"&gt;"&amp;0,J125:O125),"")</f>
        <v>3.1928660570115723</v>
      </c>
      <c r="Q125" s="30">
        <f t="shared" ref="Q125" si="478">MAXA(J125:O125)</f>
        <v>3.2411335022835384</v>
      </c>
    </row>
    <row r="126" spans="1:17">
      <c r="A126" s="214">
        <f t="shared" ref="A126" si="479">YEAR(H126)+IF(MONTH(H126)&gt;=4,1,0)</f>
        <v>2026</v>
      </c>
      <c r="B126" s="215">
        <f t="shared" ref="B126" si="480">YEAR(H126)</f>
        <v>2025</v>
      </c>
      <c r="C126" s="196">
        <f>YEAR(Table12[[#This Row],[Date]])</f>
        <v>2025</v>
      </c>
      <c r="D126" s="196" t="s">
        <v>155</v>
      </c>
      <c r="E126" s="196" t="s">
        <v>155</v>
      </c>
      <c r="F126" s="197">
        <v>45839</v>
      </c>
      <c r="G126" s="196">
        <f t="shared" ref="G126" si="481">DAY(EOMONTH(F126,0))</f>
        <v>31</v>
      </c>
      <c r="H126" s="198">
        <f t="shared" si="239"/>
        <v>45868</v>
      </c>
      <c r="I126" s="199">
        <f>'Modelling New'!$AQ$1</f>
        <v>11.72</v>
      </c>
      <c r="J126" s="30">
        <f>'Raw Data'!K127/J$1</f>
        <v>0</v>
      </c>
      <c r="K126" s="30">
        <f>'Raw Data'!L127/K$1</f>
        <v>0</v>
      </c>
      <c r="L126" s="30">
        <f>'Raw Data'!M127/L$1</f>
        <v>0</v>
      </c>
      <c r="M126" s="30">
        <f>'Raw Data'!N127/M$1</f>
        <v>0</v>
      </c>
      <c r="N126" s="30">
        <f>'Raw Data'!O127/N$1</f>
        <v>0</v>
      </c>
      <c r="O126" s="30">
        <f>'Raw Data'!P127/O$1</f>
        <v>0</v>
      </c>
      <c r="P126" s="30" t="str">
        <f t="shared" ref="P126" si="482">IFERROR(AVERAGEIF(J126:O126,"&gt;"&amp;0,J126:O126),"")</f>
        <v/>
      </c>
      <c r="Q126" s="30">
        <f t="shared" ref="Q126" si="483">MAXA(J126:O126)</f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4"/>
  <sheetViews>
    <sheetView zoomScale="106" zoomScaleNormal="106" workbookViewId="0">
      <pane xSplit="1" ySplit="1" topLeftCell="B109" activePane="bottomRight" state="frozen"/>
      <selection pane="topRight" activeCell="B1" sqref="B1"/>
      <selection pane="bottomLeft" activeCell="A2" sqref="A2"/>
      <selection pane="bottomRight" activeCell="A125" sqref="A125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24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  <row r="119" spans="1:21">
      <c r="A119" s="216">
        <f t="shared" ref="A119" si="257">YEAR(H119)+IF(MONTH(H119)&gt;=4,1,0)</f>
        <v>2026</v>
      </c>
      <c r="B119" s="217">
        <f t="shared" ref="B119" si="258">YEAR(H119)</f>
        <v>2025</v>
      </c>
      <c r="C119" s="209" t="str">
        <f>TEXT(Table5[[#This Row],[Date]],"yyyy")</f>
        <v>2025</v>
      </c>
      <c r="D119" s="209" t="s">
        <v>224</v>
      </c>
      <c r="E119" s="209" t="s">
        <v>224</v>
      </c>
      <c r="F119" s="210" t="str">
        <f>TEXT(Table5[[#This Row],[Date]],"mmm-yy")</f>
        <v>Jul-25</v>
      </c>
      <c r="G119" s="209">
        <f t="shared" ref="G119" si="259">DAY(EOMONTH(F119,0))</f>
        <v>31</v>
      </c>
      <c r="H119" s="211">
        <f t="shared" si="243"/>
        <v>45862</v>
      </c>
      <c r="I119" s="209">
        <v>11.72</v>
      </c>
      <c r="J119" s="212">
        <f>IFERROR(Inv_SY!J120/Inv_SY!$P120-1,"")</f>
        <v>1.2496822216603753E-2</v>
      </c>
      <c r="K119" s="212">
        <f>IFERROR(Inv_SY!K120/Inv_SY!$P120-1,"")</f>
        <v>-1.9836347363166862E-4</v>
      </c>
      <c r="L119" s="212">
        <f>IFERROR(Inv_SY!L120/Inv_SY!$P120-1,"")</f>
        <v>4.0040205242437565E-3</v>
      </c>
      <c r="M119" s="212">
        <f>IFERROR(Inv_SY!M120/Inv_SY!$P120-1,"")</f>
        <v>2.7165797326182961E-3</v>
      </c>
      <c r="N119" s="212">
        <f>IFERROR(Inv_SY!N120/Inv_SY!$P120-1,"")</f>
        <v>-3.210502823067285E-2</v>
      </c>
      <c r="O119" s="212">
        <f>IFERROR(Inv_SY!O120/Inv_SY!$P120-1,"")</f>
        <v>1.3085969230838268E-2</v>
      </c>
      <c r="P119" s="212">
        <f>IFERROR(Inv_SY!P120/Inv_SY!$P120-1,"")</f>
        <v>0</v>
      </c>
      <c r="Q119" s="212">
        <f>IFERROR(Inv_SY!Q120/Inv_SY!$P120-1,"")</f>
        <v>1.3085969230838268E-2</v>
      </c>
      <c r="R119" s="212">
        <f>IFERROR(Inv_SY!L120/Inv_SY!$Q120-1,"")</f>
        <v>-8.964637733054337E-3</v>
      </c>
      <c r="S119" s="212">
        <f>IFERROR(Inv_SY!M120/Inv_SY!$Q120-1,"")</f>
        <v>-1.0235448731061525E-2</v>
      </c>
      <c r="T119" s="212">
        <f>IFERROR(Inv_SY!N120/Inv_SY!$Q120-1,"")</f>
        <v>-4.4607268123377009E-2</v>
      </c>
      <c r="U119" s="213">
        <f>IFERROR(Inv_SY!O120/Inv_SY!$Q120-1,"")</f>
        <v>0</v>
      </c>
    </row>
    <row r="120" spans="1:21">
      <c r="A120" s="216">
        <f t="shared" ref="A120" si="260">YEAR(H120)+IF(MONTH(H120)&gt;=4,1,0)</f>
        <v>2026</v>
      </c>
      <c r="B120" s="217">
        <f t="shared" ref="B120" si="261">YEAR(H120)</f>
        <v>2025</v>
      </c>
      <c r="C120" s="209" t="str">
        <f>TEXT(Table5[[#This Row],[Date]],"yyyy")</f>
        <v>2025</v>
      </c>
      <c r="D120" s="209" t="s">
        <v>224</v>
      </c>
      <c r="E120" s="209" t="s">
        <v>224</v>
      </c>
      <c r="F120" s="210" t="str">
        <f>TEXT(Table5[[#This Row],[Date]],"mmm-yy")</f>
        <v>Jul-25</v>
      </c>
      <c r="G120" s="209">
        <f t="shared" ref="G120" si="262">DAY(EOMONTH(F120,0))</f>
        <v>31</v>
      </c>
      <c r="H120" s="211">
        <f t="shared" si="243"/>
        <v>45863</v>
      </c>
      <c r="I120" s="209">
        <v>11.72</v>
      </c>
      <c r="J120" s="212">
        <f>IFERROR(Inv_SY!J121/Inv_SY!$P121-1,"")</f>
        <v>1.0640924470852964E-2</v>
      </c>
      <c r="K120" s="212">
        <f>IFERROR(Inv_SY!K121/Inv_SY!$P121-1,"")</f>
        <v>1.1890656785799258E-2</v>
      </c>
      <c r="L120" s="212">
        <f>IFERROR(Inv_SY!L121/Inv_SY!$P121-1,"")</f>
        <v>1.006370542886259E-2</v>
      </c>
      <c r="M120" s="212">
        <f>IFERROR(Inv_SY!M121/Inv_SY!$P121-1,"")</f>
        <v>-4.1267422566737544E-4</v>
      </c>
      <c r="N120" s="212">
        <f>IFERROR(Inv_SY!N121/Inv_SY!$P121-1,"")</f>
        <v>-4.2121173917633925E-2</v>
      </c>
      <c r="O120" s="212">
        <f>IFERROR(Inv_SY!O121/Inv_SY!$P121-1,"")</f>
        <v>9.9385614577864878E-3</v>
      </c>
      <c r="P120" s="212">
        <f>IFERROR(Inv_SY!P121/Inv_SY!$P121-1,"")</f>
        <v>0</v>
      </c>
      <c r="Q120" s="212">
        <f>IFERROR(Inv_SY!Q121/Inv_SY!$P121-1,"")</f>
        <v>1.1890656785799258E-2</v>
      </c>
      <c r="R120" s="212">
        <f>IFERROR(Inv_SY!L121/Inv_SY!$Q121-1,"")</f>
        <v>-1.8054829785068005E-3</v>
      </c>
      <c r="S120" s="212">
        <f>IFERROR(Inv_SY!M121/Inv_SY!$Q121-1,"")</f>
        <v>-1.2158755423779977E-2</v>
      </c>
      <c r="T120" s="212">
        <f>IFERROR(Inv_SY!N121/Inv_SY!$Q121-1,"")</f>
        <v>-5.3377141434429287E-2</v>
      </c>
      <c r="U120" s="213">
        <f>IFERROR(Inv_SY!O121/Inv_SY!$Q121-1,"")</f>
        <v>-1.9291563914756171E-3</v>
      </c>
    </row>
    <row r="121" spans="1:21">
      <c r="A121" s="216">
        <f t="shared" ref="A121" si="263">YEAR(H121)+IF(MONTH(H121)&gt;=4,1,0)</f>
        <v>2026</v>
      </c>
      <c r="B121" s="217">
        <f t="shared" ref="B121" si="264">YEAR(H121)</f>
        <v>2025</v>
      </c>
      <c r="C121" s="209" t="str">
        <f>TEXT(Table5[[#This Row],[Date]],"yyyy")</f>
        <v>2025</v>
      </c>
      <c r="D121" s="209" t="s">
        <v>224</v>
      </c>
      <c r="E121" s="209" t="s">
        <v>224</v>
      </c>
      <c r="F121" s="210" t="str">
        <f>TEXT(Table5[[#This Row],[Date]],"mmm-yy")</f>
        <v>Jul-25</v>
      </c>
      <c r="G121" s="209">
        <f t="shared" ref="G121" si="265">DAY(EOMONTH(F121,0))</f>
        <v>31</v>
      </c>
      <c r="H121" s="211">
        <f t="shared" si="243"/>
        <v>45864</v>
      </c>
      <c r="I121" s="209">
        <v>11.72</v>
      </c>
      <c r="J121" s="212">
        <f>IFERROR(Inv_SY!J122/Inv_SY!$P122-1,"")</f>
        <v>1.07213774021091E-2</v>
      </c>
      <c r="K121" s="212">
        <f>IFERROR(Inv_SY!K122/Inv_SY!$P122-1,"")</f>
        <v>7.4022676405585131E-3</v>
      </c>
      <c r="L121" s="212">
        <f>IFERROR(Inv_SY!L122/Inv_SY!$P122-1,"")</f>
        <v>6.3314875403261972E-3</v>
      </c>
      <c r="M121" s="212">
        <f>IFERROR(Inv_SY!M122/Inv_SY!$P122-1,"")</f>
        <v>6.8066893211851109E-3</v>
      </c>
      <c r="N121" s="212">
        <f>IFERROR(Inv_SY!N122/Inv_SY!$P122-1,"")</f>
        <v>-4.2313442319018013E-2</v>
      </c>
      <c r="O121" s="212">
        <f>IFERROR(Inv_SY!O122/Inv_SY!$P122-1,"")</f>
        <v>1.1051620414838537E-2</v>
      </c>
      <c r="P121" s="212">
        <f>IFERROR(Inv_SY!P122/Inv_SY!$P122-1,"")</f>
        <v>0</v>
      </c>
      <c r="Q121" s="212">
        <f>IFERROR(Inv_SY!Q122/Inv_SY!$P122-1,"")</f>
        <v>1.1051620414838537E-2</v>
      </c>
      <c r="R121" s="212">
        <f>IFERROR(Inv_SY!L122/Inv_SY!$Q122-1,"")</f>
        <v>-4.6685379650307501E-3</v>
      </c>
      <c r="S121" s="212">
        <f>IFERROR(Inv_SY!M122/Inv_SY!$Q122-1,"")</f>
        <v>-4.1985305279582663E-3</v>
      </c>
      <c r="T121" s="212">
        <f>IFERROR(Inv_SY!N122/Inv_SY!$Q122-1,"")</f>
        <v>-5.2781738989707283E-2</v>
      </c>
      <c r="U121" s="213">
        <f>IFERROR(Inv_SY!O122/Inv_SY!$Q122-1,"")</f>
        <v>0</v>
      </c>
    </row>
    <row r="122" spans="1:21">
      <c r="A122" s="216">
        <f t="shared" ref="A122" si="266">YEAR(H122)+IF(MONTH(H122)&gt;=4,1,0)</f>
        <v>2026</v>
      </c>
      <c r="B122" s="217">
        <f t="shared" ref="B122" si="267">YEAR(H122)</f>
        <v>2025</v>
      </c>
      <c r="C122" s="209" t="str">
        <f>TEXT(Table5[[#This Row],[Date]],"yyyy")</f>
        <v>2025</v>
      </c>
      <c r="D122" s="209" t="s">
        <v>224</v>
      </c>
      <c r="E122" s="209" t="s">
        <v>224</v>
      </c>
      <c r="F122" s="210" t="str">
        <f>TEXT(Table5[[#This Row],[Date]],"mmm-yy")</f>
        <v>Jul-25</v>
      </c>
      <c r="G122" s="209">
        <f t="shared" ref="G122" si="268">DAY(EOMONTH(F122,0))</f>
        <v>31</v>
      </c>
      <c r="H122" s="211">
        <f t="shared" si="243"/>
        <v>45865</v>
      </c>
      <c r="I122" s="209">
        <v>11.72</v>
      </c>
      <c r="J122" s="212">
        <f>IFERROR(Inv_SY!J123/Inv_SY!$P123-1,"")</f>
        <v>2.4464767311300761E-3</v>
      </c>
      <c r="K122" s="212">
        <f>IFERROR(Inv_SY!K123/Inv_SY!$P123-1,"")</f>
        <v>-4.6644652651349761E-3</v>
      </c>
      <c r="L122" s="212">
        <f>IFERROR(Inv_SY!L123/Inv_SY!$P123-1,"")</f>
        <v>-1.7344993470540304E-2</v>
      </c>
      <c r="M122" s="212">
        <f>IFERROR(Inv_SY!M123/Inv_SY!$P123-1,"")</f>
        <v>1.2654772866573571E-2</v>
      </c>
      <c r="N122" s="212">
        <f>IFERROR(Inv_SY!N123/Inv_SY!$P123-1,"")</f>
        <v>-1.1872967821644043E-2</v>
      </c>
      <c r="O122" s="212">
        <f>IFERROR(Inv_SY!O123/Inv_SY!$P123-1,"")</f>
        <v>1.8781176959614676E-2</v>
      </c>
      <c r="P122" s="212">
        <f>IFERROR(Inv_SY!P123/Inv_SY!$P123-1,"")</f>
        <v>0</v>
      </c>
      <c r="Q122" s="212">
        <f>IFERROR(Inv_SY!Q123/Inv_SY!$P123-1,"")</f>
        <v>1.8781176959614676E-2</v>
      </c>
      <c r="R122" s="212">
        <f>IFERROR(Inv_SY!L123/Inv_SY!$Q123-1,"")</f>
        <v>-3.5460186394459692E-2</v>
      </c>
      <c r="S122" s="212">
        <f>IFERROR(Inv_SY!M123/Inv_SY!$Q123-1,"")</f>
        <v>-6.0134641585392057E-3</v>
      </c>
      <c r="T122" s="212">
        <f>IFERROR(Inv_SY!N123/Inv_SY!$Q123-1,"")</f>
        <v>-3.0089037248156703E-2</v>
      </c>
      <c r="U122" s="213">
        <f>IFERROR(Inv_SY!O123/Inv_SY!$Q123-1,"")</f>
        <v>0</v>
      </c>
    </row>
    <row r="123" spans="1:21">
      <c r="A123" s="216">
        <f t="shared" ref="A123" si="269">YEAR(H123)+IF(MONTH(H123)&gt;=4,1,0)</f>
        <v>2026</v>
      </c>
      <c r="B123" s="217">
        <f t="shared" ref="B123" si="270">YEAR(H123)</f>
        <v>2025</v>
      </c>
      <c r="C123" s="209" t="str">
        <f>TEXT(Table5[[#This Row],[Date]],"yyyy")</f>
        <v>2025</v>
      </c>
      <c r="D123" s="209" t="s">
        <v>224</v>
      </c>
      <c r="E123" s="209" t="s">
        <v>224</v>
      </c>
      <c r="F123" s="210" t="str">
        <f>TEXT(Table5[[#This Row],[Date]],"mmm-yy")</f>
        <v>Jul-25</v>
      </c>
      <c r="G123" s="209">
        <f t="shared" ref="G123" si="271">DAY(EOMONTH(F123,0))</f>
        <v>31</v>
      </c>
      <c r="H123" s="211">
        <f t="shared" si="243"/>
        <v>45866</v>
      </c>
      <c r="I123" s="209">
        <v>11.72</v>
      </c>
      <c r="J123" s="212">
        <f>IFERROR(Inv_SY!J124/Inv_SY!$P124-1,"")</f>
        <v>-1.5284400612009419E-2</v>
      </c>
      <c r="K123" s="212">
        <f>IFERROR(Inv_SY!K124/Inv_SY!$P124-1,"")</f>
        <v>-8.0378077575151696E-3</v>
      </c>
      <c r="L123" s="212">
        <f>IFERROR(Inv_SY!L124/Inv_SY!$P124-1,"")</f>
        <v>-2.4850122301063204E-2</v>
      </c>
      <c r="M123" s="212">
        <f>IFERROR(Inv_SY!M124/Inv_SY!$P124-1,"")</f>
        <v>2.6394890785432779E-2</v>
      </c>
      <c r="N123" s="212">
        <f>IFERROR(Inv_SY!N124/Inv_SY!$P124-1,"")</f>
        <v>7.2119727825104007E-4</v>
      </c>
      <c r="O123" s="212">
        <f>IFERROR(Inv_SY!O124/Inv_SY!$P124-1,"")</f>
        <v>2.1056242606904307E-2</v>
      </c>
      <c r="P123" s="212">
        <f>IFERROR(Inv_SY!P124/Inv_SY!$P124-1,"")</f>
        <v>0</v>
      </c>
      <c r="Q123" s="212">
        <f>IFERROR(Inv_SY!Q124/Inv_SY!$P124-1,"")</f>
        <v>2.6394890785432779E-2</v>
      </c>
      <c r="R123" s="212">
        <f>IFERROR(Inv_SY!L124/Inv_SY!$Q124-1,"")</f>
        <v>-4.9927190349984607E-2</v>
      </c>
      <c r="S123" s="212">
        <f>IFERROR(Inv_SY!M124/Inv_SY!$Q124-1,"")</f>
        <v>0</v>
      </c>
      <c r="T123" s="212">
        <f>IFERROR(Inv_SY!N124/Inv_SY!$Q124-1,"")</f>
        <v>-2.5013465808988222E-2</v>
      </c>
      <c r="U123" s="213">
        <f>IFERROR(Inv_SY!O124/Inv_SY!$Q124-1,"")</f>
        <v>-5.2013588789817655E-3</v>
      </c>
    </row>
    <row r="124" spans="1:21">
      <c r="A124" s="216">
        <f t="shared" ref="A124" si="272">YEAR(H124)+IF(MONTH(H124)&gt;=4,1,0)</f>
        <v>2026</v>
      </c>
      <c r="B124" s="217">
        <f t="shared" ref="B124" si="273">YEAR(H124)</f>
        <v>2025</v>
      </c>
      <c r="C124" s="209" t="str">
        <f>TEXT(Table5[[#This Row],[Date]],"yyyy")</f>
        <v>2025</v>
      </c>
      <c r="D124" s="209" t="s">
        <v>224</v>
      </c>
      <c r="E124" s="209" t="s">
        <v>224</v>
      </c>
      <c r="F124" s="210" t="str">
        <f>TEXT(Table5[[#This Row],[Date]],"mmm-yy")</f>
        <v>Jul-25</v>
      </c>
      <c r="G124" s="209">
        <f t="shared" ref="G124" si="274">DAY(EOMONTH(F124,0))</f>
        <v>31</v>
      </c>
      <c r="H124" s="211">
        <f t="shared" si="243"/>
        <v>45867</v>
      </c>
      <c r="I124" s="209">
        <v>11.72</v>
      </c>
      <c r="J124" s="212">
        <f>IFERROR(Inv_SY!J125/Inv_SY!$P125-1,"")</f>
        <v>1.3330597851777259E-3</v>
      </c>
      <c r="K124" s="212">
        <f>IFERROR(Inv_SY!K125/Inv_SY!$P125-1,"")</f>
        <v>3.490088672741809E-3</v>
      </c>
      <c r="L124" s="212">
        <f>IFERROR(Inv_SY!L125/Inv_SY!$P125-1,"")</f>
        <v>-1.117923037887425E-2</v>
      </c>
      <c r="M124" s="212">
        <f>IFERROR(Inv_SY!M125/Inv_SY!$P125-1,"")</f>
        <v>1.5117278460826888E-2</v>
      </c>
      <c r="N124" s="212">
        <f>IFERROR(Inv_SY!N125/Inv_SY!$P125-1,"")</f>
        <v>-2.3864571074929786E-2</v>
      </c>
      <c r="O124" s="212">
        <f>IFERROR(Inv_SY!O125/Inv_SY!$P125-1,"")</f>
        <v>1.5103374535057723E-2</v>
      </c>
      <c r="P124" s="212">
        <f>IFERROR(Inv_SY!P125/Inv_SY!$P125-1,"")</f>
        <v>0</v>
      </c>
      <c r="Q124" s="212">
        <f>IFERROR(Inv_SY!Q125/Inv_SY!$P125-1,"")</f>
        <v>1.5117278460826888E-2</v>
      </c>
      <c r="R124" s="212">
        <f>IFERROR(Inv_SY!L125/Inv_SY!$Q125-1,"")</f>
        <v>-2.5904897293811402E-2</v>
      </c>
      <c r="S124" s="212">
        <f>IFERROR(Inv_SY!M125/Inv_SY!$Q125-1,"")</f>
        <v>0</v>
      </c>
      <c r="T124" s="212">
        <f>IFERROR(Inv_SY!N125/Inv_SY!$Q125-1,"")</f>
        <v>-3.8401325997389102E-2</v>
      </c>
      <c r="U124" s="213">
        <f>IFERROR(Inv_SY!O125/Inv_SY!$Q125-1,"")</f>
        <v>-1.3696866425272347E-5</v>
      </c>
    </row>
  </sheetData>
  <phoneticPr fontId="34" type="noConversion"/>
  <conditionalFormatting sqref="J2:Q12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N20" activePane="bottomRight" state="frozen"/>
      <selection pane="topRight" activeCell="I1" sqref="I1"/>
      <selection pane="bottomLeft" activeCell="A4" sqref="A4"/>
      <selection pane="bottomRight" activeCell="V27" sqref="V27:V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496</v>
      </c>
      <c r="AB27" s="2" t="s">
        <v>502</v>
      </c>
      <c r="AC27" s="47">
        <f>IFERROR(PA[[#This Row],[Breakdown Time]]*PA[[#This Row],[Plant Equivalent Weightage]],"")</f>
        <v>1.697395657208434E-2</v>
      </c>
      <c r="AE27" s="33">
        <f>IFERROR((_xlfn.XLOOKUP(PA[[#This Row],[Month Year]],'Modelling New'!D:D,'Modelling New'!$O:$O)*PA[[#This Row],[Lost PoA(Wh/m2)]]*PA[[#This Row],[DC Capacity Affceted (kW)]])/1000,"")</f>
        <v>0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496</v>
      </c>
      <c r="AB28" s="2" t="s">
        <v>502</v>
      </c>
      <c r="AC28" s="47">
        <f>IFERROR(PA[[#This Row],[Breakdown Time]]*PA[[#This Row],[Plant Equivalent Weightage]],"")</f>
        <v>1.4144963810070283E-2</v>
      </c>
      <c r="AE28" s="33">
        <f>IFERROR((_xlfn.XLOOKUP(PA[[#This Row],[Month Year]],'Modelling New'!D:D,'Modelling New'!$O:$O)*PA[[#This Row],[Lost PoA(Wh/m2)]]*PA[[#This Row],[DC Capacity Affceted (kW)]])/1000,"")</f>
        <v>0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496</v>
      </c>
      <c r="AB29" s="2" t="s">
        <v>502</v>
      </c>
      <c r="AC29" s="47">
        <f>IFERROR(PA[[#This Row],[Breakdown Time]]*PA[[#This Row],[Plant Equivalent Weightage]],"")</f>
        <v>1.697395657208434E-2</v>
      </c>
      <c r="AE29" s="33">
        <f>IFERROR((_xlfn.XLOOKUP(PA[[#This Row],[Month Year]],'Modelling New'!D:D,'Modelling New'!$O:$O)*PA[[#This Row],[Lost PoA(Wh/m2)]]*PA[[#This Row],[DC Capacity Affceted (kW)]])/1000,"")</f>
        <v>0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496</v>
      </c>
      <c r="AB30" s="2" t="s">
        <v>502</v>
      </c>
      <c r="AC30" s="47">
        <f>IFERROR(PA[[#This Row],[Breakdown Time]]*PA[[#This Row],[Plant Equivalent Weightage]],"")</f>
        <v>1.5427942929556846E-2</v>
      </c>
      <c r="AE30" s="33">
        <f>IFERROR((_xlfn.XLOOKUP(PA[[#This Row],[Month Year]],'Modelling New'!D:D,'Modelling New'!$O:$O)*PA[[#This Row],[Lost PoA(Wh/m2)]]*PA[[#This Row],[DC Capacity Affceted (kW)]])/1000,"")</f>
        <v>0</v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P31:P557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AB31:AB557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L4:L557 O4:O30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706"/>
  <sheetViews>
    <sheetView workbookViewId="0">
      <pane xSplit="8" ySplit="3" topLeftCell="I1696" activePane="bottomRight" state="frozen"/>
      <selection pane="topRight" activeCell="I1" sqref="I1"/>
      <selection pane="bottomLeft" activeCell="A4" sqref="A4"/>
      <selection pane="bottomRight" activeCell="C1709" sqref="C1709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56">
        <f t="shared" ref="B1629:B1641" si="205">YEAR(H1629)+IF(MONTH(H1629)&gt;=4,1,0)</f>
        <v>2026</v>
      </c>
      <c r="C1629" s="129">
        <f t="shared" ref="C1629:C1641" si="206">YEAR(H1629)</f>
        <v>2025</v>
      </c>
      <c r="D1629" s="2" t="s">
        <v>155</v>
      </c>
      <c r="E1629" s="2" t="s">
        <v>155</v>
      </c>
      <c r="F1629" s="39">
        <v>45839</v>
      </c>
      <c r="G1629" s="2">
        <f>DAY(EOMONTH(TA[[#This Row],[Month Year]],0))</f>
        <v>31</v>
      </c>
      <c r="H1629" s="21">
        <v>45862</v>
      </c>
      <c r="I1629" s="41">
        <f>IFERROR(VLOOKUP(TA[[#This Row],[Date]],Raw_Data[[Date]:[Sunset Time (POA&lt;20 W/m2)]],3,0),"")</f>
        <v>0.26319444444444445</v>
      </c>
      <c r="J1629" s="41">
        <f>IFERROR(VLOOKUP(TA[[#This Row],[Date]],Raw_Data[[Date]:[Sunset Time (POA&lt;20 W/m2)]],4,0),"")</f>
        <v>0.77083333333333337</v>
      </c>
      <c r="K1629" s="35">
        <f>IFERROR((TA[[#This Row],[Sunset Time (POA&lt;20 W/m2)]]-TA[[#This Row],[Sunrise Time (POA&gt;20 W/m2)]])*24,"")</f>
        <v>12.183333333333335</v>
      </c>
      <c r="L1629" s="2" t="s">
        <v>294</v>
      </c>
      <c r="M1629" s="42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27" t="s">
        <v>318</v>
      </c>
      <c r="Q1629" s="126" t="s">
        <v>318</v>
      </c>
      <c r="R1629">
        <v>131</v>
      </c>
      <c r="S1629" s="2">
        <v>38</v>
      </c>
      <c r="T1629" t="s">
        <v>295</v>
      </c>
      <c r="U1629" t="s">
        <v>300</v>
      </c>
      <c r="V1629" t="s">
        <v>298</v>
      </c>
      <c r="W1629" s="41"/>
      <c r="X1629" s="41"/>
      <c r="Y1629" s="34"/>
      <c r="Z1629" s="34"/>
      <c r="AA1629" s="35">
        <f>IF(TA[[#This Row],[Work Start time on Fault]]="NA","",(TA[[#This Row],[Fault Acknowledgement Time ]]-TA[[#This Row],[Fault Time]])*24)</f>
        <v>0</v>
      </c>
      <c r="AB1629" s="35">
        <f>(TA[[#This Row],[Work Start time on Fault]]-TA[[#This Row],[Fault Time]])*24</f>
        <v>0</v>
      </c>
      <c r="AC1629" s="34">
        <f>(TA[[#This Row],[Work Completion time on fault]]-TA[[#This Row],[Fault Time]])*24</f>
        <v>0</v>
      </c>
      <c r="AD1629" s="35">
        <f>IFERROR((TA[[#This Row],[Work Completion time on fault]]-TA[[#This Row],[Fault Time]])*24,"")</f>
        <v>0</v>
      </c>
      <c r="AE1629" t="s">
        <v>328</v>
      </c>
      <c r="AF1629" t="s">
        <v>256</v>
      </c>
      <c r="AG1629" s="2"/>
      <c r="AH1629" s="44">
        <f>1-COS(RADIANS(TA[[#This Row],[Avg. Target Angle during Fault Time (Radians)]]-TA[[#This Row],[Angle of affected equipment ]]))</f>
        <v>0.11705240714107301</v>
      </c>
      <c r="AI1629" s="35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56">
        <f t="shared" si="205"/>
        <v>2026</v>
      </c>
      <c r="C1630" s="129">
        <f t="shared" si="206"/>
        <v>2025</v>
      </c>
      <c r="D1630" s="2" t="s">
        <v>155</v>
      </c>
      <c r="E1630" s="2" t="s">
        <v>155</v>
      </c>
      <c r="F1630" s="39">
        <v>45839</v>
      </c>
      <c r="G1630" s="2">
        <f>DAY(EOMONTH(TA[[#This Row],[Month Year]],0))</f>
        <v>31</v>
      </c>
      <c r="H1630" s="21">
        <v>45862</v>
      </c>
      <c r="I1630" s="41">
        <f>IFERROR(VLOOKUP(TA[[#This Row],[Date]],Raw_Data[[Date]:[Sunset Time (POA&lt;20 W/m2)]],3,0),"")</f>
        <v>0.26319444444444445</v>
      </c>
      <c r="J1630" s="41">
        <f>IFERROR(VLOOKUP(TA[[#This Row],[Date]],Raw_Data[[Date]:[Sunset Time (POA&lt;20 W/m2)]],4,0),"")</f>
        <v>0.77083333333333337</v>
      </c>
      <c r="K1630" s="35">
        <f>IFERROR((TA[[#This Row],[Sunset Time (POA&lt;20 W/m2)]]-TA[[#This Row],[Sunrise Time (POA&gt;20 W/m2)]])*24,"")</f>
        <v>12.183333333333335</v>
      </c>
      <c r="L1630" s="2" t="s">
        <v>294</v>
      </c>
      <c r="M1630" s="42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27" t="s">
        <v>318</v>
      </c>
      <c r="Q1630" s="126" t="s">
        <v>318</v>
      </c>
      <c r="R1630">
        <v>131</v>
      </c>
      <c r="S1630" s="2">
        <v>39</v>
      </c>
      <c r="T1630" t="s">
        <v>295</v>
      </c>
      <c r="U1630" t="s">
        <v>300</v>
      </c>
      <c r="V1630" t="s">
        <v>298</v>
      </c>
      <c r="W1630" s="41"/>
      <c r="X1630" s="41"/>
      <c r="Y1630" s="34"/>
      <c r="Z1630" s="34"/>
      <c r="AA1630" s="35">
        <f>IF(TA[[#This Row],[Work Start time on Fault]]="NA","",(TA[[#This Row],[Fault Acknowledgement Time ]]-TA[[#This Row],[Fault Time]])*24)</f>
        <v>0</v>
      </c>
      <c r="AB1630" s="35">
        <f>(TA[[#This Row],[Work Start time on Fault]]-TA[[#This Row],[Fault Time]])*24</f>
        <v>0</v>
      </c>
      <c r="AC1630" s="34">
        <f>(TA[[#This Row],[Work Completion time on fault]]-TA[[#This Row],[Fault Time]])*24</f>
        <v>0</v>
      </c>
      <c r="AD1630" s="35">
        <f>IFERROR((TA[[#This Row],[Work Completion time on fault]]-TA[[#This Row],[Fault Time]])*24,"")</f>
        <v>0</v>
      </c>
      <c r="AE1630" t="s">
        <v>328</v>
      </c>
      <c r="AF1630" t="s">
        <v>256</v>
      </c>
      <c r="AG1630" s="2"/>
      <c r="AH1630" s="44">
        <f>1-COS(RADIANS(TA[[#This Row],[Avg. Target Angle during Fault Time (Radians)]]-TA[[#This Row],[Angle of affected equipment ]]))</f>
        <v>0.11705240714107301</v>
      </c>
      <c r="AI1630" s="35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56">
        <f t="shared" si="205"/>
        <v>2026</v>
      </c>
      <c r="C1631" s="129">
        <f t="shared" si="206"/>
        <v>2025</v>
      </c>
      <c r="D1631" s="2" t="s">
        <v>155</v>
      </c>
      <c r="E1631" s="2" t="s">
        <v>155</v>
      </c>
      <c r="F1631" s="39">
        <v>45839</v>
      </c>
      <c r="G1631" s="2">
        <f>DAY(EOMONTH(TA[[#This Row],[Month Year]],0))</f>
        <v>31</v>
      </c>
      <c r="H1631" s="21">
        <v>45862</v>
      </c>
      <c r="I1631" s="41">
        <f>IFERROR(VLOOKUP(TA[[#This Row],[Date]],Raw_Data[[Date]:[Sunset Time (POA&lt;20 W/m2)]],3,0),"")</f>
        <v>0.26319444444444445</v>
      </c>
      <c r="J1631" s="41">
        <f>IFERROR(VLOOKUP(TA[[#This Row],[Date]],Raw_Data[[Date]:[Sunset Time (POA&lt;20 W/m2)]],4,0),"")</f>
        <v>0.77083333333333337</v>
      </c>
      <c r="K1631" s="35">
        <f>IFERROR((TA[[#This Row],[Sunset Time (POA&lt;20 W/m2)]]-TA[[#This Row],[Sunrise Time (POA&gt;20 W/m2)]])*24,"")</f>
        <v>12.183333333333335</v>
      </c>
      <c r="L1631" s="2" t="s">
        <v>296</v>
      </c>
      <c r="M1631" s="42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27" t="s">
        <v>318</v>
      </c>
      <c r="Q1631" s="2" t="s">
        <v>321</v>
      </c>
      <c r="R1631">
        <v>133</v>
      </c>
      <c r="S1631" s="2">
        <v>26</v>
      </c>
      <c r="T1631" t="s">
        <v>297</v>
      </c>
      <c r="U1631" t="s">
        <v>300</v>
      </c>
      <c r="V1631" t="s">
        <v>314</v>
      </c>
      <c r="W1631" s="41">
        <f>IFERROR(VLOOKUP(TA[[#This Row],[Date]],Raw_Data[[Date]:[Sunset Time (POA&lt;20 W/m2)]],3,0),"")</f>
        <v>0.26319444444444445</v>
      </c>
      <c r="X1631" s="41">
        <f>IFERROR(VLOOKUP(TA[[#This Row],[Date]],Raw_Data[[Date]:[Sunset Time (POA&lt;20 W/m2)]],3,0),"")</f>
        <v>0.26319444444444445</v>
      </c>
      <c r="Y1631" s="34"/>
      <c r="Z1631" s="34">
        <v>0.76041666666666663</v>
      </c>
      <c r="AA1631" s="35">
        <f>IF(TA[[#This Row],[Work Start time on Fault]]="NA","",(TA[[#This Row],[Fault Acknowledgement Time ]]-TA[[#This Row],[Fault Time]])*24)</f>
        <v>0</v>
      </c>
      <c r="AB1631" s="35">
        <f>(TA[[#This Row],[Work Start time on Fault]]-TA[[#This Row],[Fault Time]])*24</f>
        <v>-6.3166666666666664</v>
      </c>
      <c r="AC1631" s="34">
        <f>(TA[[#This Row],[Work Completion time on fault]]-TA[[#This Row],[Fault Time]])*24</f>
        <v>11.933333333333332</v>
      </c>
      <c r="AD1631" s="35">
        <f>IFERROR((TA[[#This Row],[Work Completion time on fault]]-TA[[#This Row],[Fault Time]])*24,"")</f>
        <v>11.933333333333332</v>
      </c>
      <c r="AE1631" t="s">
        <v>328</v>
      </c>
      <c r="AF1631" t="s">
        <v>256</v>
      </c>
      <c r="AG1631" s="2"/>
      <c r="AH1631" s="44">
        <f>1-COS(RADIANS(TA[[#This Row],[Avg. Target Angle during Fault Time (Radians)]]-TA[[#This Row],[Angle of affected equipment ]]))</f>
        <v>0.11705240714107301</v>
      </c>
      <c r="AI1631" s="35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56">
        <f t="shared" si="205"/>
        <v>2026</v>
      </c>
      <c r="C1632" s="129">
        <f t="shared" si="206"/>
        <v>2025</v>
      </c>
      <c r="D1632" s="2" t="s">
        <v>155</v>
      </c>
      <c r="E1632" s="2" t="s">
        <v>155</v>
      </c>
      <c r="F1632" s="39">
        <v>45839</v>
      </c>
      <c r="G1632" s="2">
        <f>DAY(EOMONTH(TA[[#This Row],[Month Year]],0))</f>
        <v>31</v>
      </c>
      <c r="H1632" s="21">
        <v>45862</v>
      </c>
      <c r="I1632" s="41">
        <f>IFERROR(VLOOKUP(TA[[#This Row],[Date]],Raw_Data[[Date]:[Sunset Time (POA&lt;20 W/m2)]],3,0),"")</f>
        <v>0.26319444444444445</v>
      </c>
      <c r="J1632" s="41">
        <f>IFERROR(VLOOKUP(TA[[#This Row],[Date]],Raw_Data[[Date]:[Sunset Time (POA&lt;20 W/m2)]],4,0),"")</f>
        <v>0.77083333333333337</v>
      </c>
      <c r="K1632" s="35">
        <f>IFERROR((TA[[#This Row],[Sunset Time (POA&lt;20 W/m2)]]-TA[[#This Row],[Sunrise Time (POA&gt;20 W/m2)]])*24,"")</f>
        <v>12.183333333333335</v>
      </c>
      <c r="L1632" s="2" t="s">
        <v>294</v>
      </c>
      <c r="M1632" s="42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27" t="s">
        <v>316</v>
      </c>
      <c r="Q1632" s="126" t="s">
        <v>317</v>
      </c>
      <c r="R1632">
        <v>7</v>
      </c>
      <c r="S1632" s="2">
        <v>32</v>
      </c>
      <c r="T1632" t="s">
        <v>295</v>
      </c>
      <c r="U1632" t="s">
        <v>300</v>
      </c>
      <c r="V1632" t="s">
        <v>298</v>
      </c>
      <c r="W1632" s="41"/>
      <c r="X1632" s="41"/>
      <c r="Y1632" s="34"/>
      <c r="Z1632" s="34"/>
      <c r="AA1632" s="35">
        <f>IF(TA[[#This Row],[Work Start time on Fault]]="NA","",(TA[[#This Row],[Fault Acknowledgement Time ]]-TA[[#This Row],[Fault Time]])*24)</f>
        <v>0</v>
      </c>
      <c r="AB1632" s="35">
        <f>(TA[[#This Row],[Work Start time on Fault]]-TA[[#This Row],[Fault Time]])*24</f>
        <v>0</v>
      </c>
      <c r="AC1632" s="34">
        <f>(TA[[#This Row],[Work Completion time on fault]]-TA[[#This Row],[Fault Time]])*24</f>
        <v>0</v>
      </c>
      <c r="AD1632" s="35">
        <f>IFERROR((TA[[#This Row],[Work Completion time on fault]]-TA[[#This Row],[Fault Time]])*24,"")</f>
        <v>0</v>
      </c>
      <c r="AE1632" t="s">
        <v>328</v>
      </c>
      <c r="AF1632" t="s">
        <v>256</v>
      </c>
      <c r="AG1632" s="2"/>
      <c r="AH1632" s="44">
        <f>1-COS(RADIANS(TA[[#This Row],[Avg. Target Angle during Fault Time (Radians)]]-TA[[#This Row],[Angle of affected equipment ]]))</f>
        <v>0.11705240714107301</v>
      </c>
      <c r="AI1632" s="35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56">
        <f t="shared" si="205"/>
        <v>2026</v>
      </c>
      <c r="C1633" s="129">
        <f t="shared" si="206"/>
        <v>2025</v>
      </c>
      <c r="D1633" s="2" t="s">
        <v>155</v>
      </c>
      <c r="E1633" s="2" t="s">
        <v>155</v>
      </c>
      <c r="F1633" s="39">
        <v>45839</v>
      </c>
      <c r="G1633" s="2">
        <f>DAY(EOMONTH(TA[[#This Row],[Month Year]],0))</f>
        <v>31</v>
      </c>
      <c r="H1633" s="21">
        <v>45862</v>
      </c>
      <c r="I1633" s="41">
        <f>IFERROR(VLOOKUP(TA[[#This Row],[Date]],Raw_Data[[Date]:[Sunset Time (POA&lt;20 W/m2)]],3,0),"")</f>
        <v>0.26319444444444445</v>
      </c>
      <c r="J1633" s="41">
        <f>IFERROR(VLOOKUP(TA[[#This Row],[Date]],Raw_Data[[Date]:[Sunset Time (POA&lt;20 W/m2)]],4,0),"")</f>
        <v>0.77083333333333337</v>
      </c>
      <c r="K1633" s="35">
        <f>IFERROR((TA[[#This Row],[Sunset Time (POA&lt;20 W/m2)]]-TA[[#This Row],[Sunrise Time (POA&gt;20 W/m2)]])*24,"")</f>
        <v>12.183333333333335</v>
      </c>
      <c r="L1633" s="2" t="s">
        <v>294</v>
      </c>
      <c r="M1633" s="42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27" t="s">
        <v>315</v>
      </c>
      <c r="Q1633" s="126" t="s">
        <v>319</v>
      </c>
      <c r="R1633">
        <v>166</v>
      </c>
      <c r="S1633" s="2">
        <v>91</v>
      </c>
      <c r="T1633" t="s">
        <v>295</v>
      </c>
      <c r="U1633" t="s">
        <v>300</v>
      </c>
      <c r="V1633" t="s">
        <v>298</v>
      </c>
      <c r="W1633" s="41"/>
      <c r="X1633" s="41"/>
      <c r="Y1633" s="34"/>
      <c r="Z1633" s="34"/>
      <c r="AA1633" s="35">
        <f>IF(TA[[#This Row],[Work Start time on Fault]]="NA","",(TA[[#This Row],[Fault Acknowledgement Time ]]-TA[[#This Row],[Fault Time]])*24)</f>
        <v>0</v>
      </c>
      <c r="AB1633" s="35">
        <f>(TA[[#This Row],[Work Start time on Fault]]-TA[[#This Row],[Fault Time]])*24</f>
        <v>0</v>
      </c>
      <c r="AC1633" s="34">
        <f>(TA[[#This Row],[Work Completion time on fault]]-TA[[#This Row],[Fault Time]])*24</f>
        <v>0</v>
      </c>
      <c r="AD1633" s="35">
        <f>IFERROR((TA[[#This Row],[Work Completion time on fault]]-TA[[#This Row],[Fault Time]])*24,"")</f>
        <v>0</v>
      </c>
      <c r="AE1633" t="s">
        <v>328</v>
      </c>
      <c r="AF1633" t="s">
        <v>256</v>
      </c>
      <c r="AG1633" s="2"/>
      <c r="AH1633" s="44">
        <f>1-COS(RADIANS(TA[[#This Row],[Avg. Target Angle during Fault Time (Radians)]]-TA[[#This Row],[Angle of affected equipment ]]))</f>
        <v>0.11705240714107301</v>
      </c>
      <c r="AI1633" s="35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56">
        <f t="shared" si="205"/>
        <v>2026</v>
      </c>
      <c r="C1634" s="129">
        <f t="shared" si="206"/>
        <v>2025</v>
      </c>
      <c r="D1634" s="2" t="s">
        <v>155</v>
      </c>
      <c r="E1634" s="2" t="s">
        <v>155</v>
      </c>
      <c r="F1634" s="39">
        <v>45839</v>
      </c>
      <c r="G1634" s="2">
        <f>DAY(EOMONTH(TA[[#This Row],[Month Year]],0))</f>
        <v>31</v>
      </c>
      <c r="H1634" s="21">
        <v>45862</v>
      </c>
      <c r="I1634" s="41">
        <f>IFERROR(VLOOKUP(TA[[#This Row],[Date]],Raw_Data[[Date]:[Sunset Time (POA&lt;20 W/m2)]],3,0),"")</f>
        <v>0.26319444444444445</v>
      </c>
      <c r="J1634" s="41">
        <f>IFERROR(VLOOKUP(TA[[#This Row],[Date]],Raw_Data[[Date]:[Sunset Time (POA&lt;20 W/m2)]],4,0),"")</f>
        <v>0.77083333333333337</v>
      </c>
      <c r="K1634" s="35">
        <f>IFERROR((TA[[#This Row],[Sunset Time (POA&lt;20 W/m2)]]-TA[[#This Row],[Sunrise Time (POA&gt;20 W/m2)]])*24,"")</f>
        <v>12.183333333333335</v>
      </c>
      <c r="L1634" s="2" t="s">
        <v>294</v>
      </c>
      <c r="M1634" s="42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27" t="s">
        <v>316</v>
      </c>
      <c r="Q1634" s="126" t="s">
        <v>316</v>
      </c>
      <c r="R1634">
        <v>117</v>
      </c>
      <c r="S1634" s="2">
        <v>20</v>
      </c>
      <c r="T1634" t="s">
        <v>295</v>
      </c>
      <c r="U1634" t="s">
        <v>300</v>
      </c>
      <c r="V1634" t="s">
        <v>298</v>
      </c>
      <c r="W1634" s="41"/>
      <c r="X1634" s="41"/>
      <c r="Y1634" s="34"/>
      <c r="Z1634" s="34"/>
      <c r="AA1634" s="35">
        <f>IF(TA[[#This Row],[Work Start time on Fault]]="NA","",(TA[[#This Row],[Fault Acknowledgement Time ]]-TA[[#This Row],[Fault Time]])*24)</f>
        <v>0</v>
      </c>
      <c r="AB1634" s="35">
        <f>(TA[[#This Row],[Work Start time on Fault]]-TA[[#This Row],[Fault Time]])*24</f>
        <v>0</v>
      </c>
      <c r="AC1634" s="34">
        <f>(TA[[#This Row],[Work Completion time on fault]]-TA[[#This Row],[Fault Time]])*24</f>
        <v>0</v>
      </c>
      <c r="AD1634" s="35">
        <f>IFERROR((TA[[#This Row],[Work Completion time on fault]]-TA[[#This Row],[Fault Time]])*24,"")</f>
        <v>0</v>
      </c>
      <c r="AE1634" t="s">
        <v>328</v>
      </c>
      <c r="AF1634" t="s">
        <v>256</v>
      </c>
      <c r="AG1634" s="2"/>
      <c r="AH1634" s="44">
        <f>1-COS(RADIANS(TA[[#This Row],[Avg. Target Angle during Fault Time (Radians)]]-TA[[#This Row],[Angle of affected equipment ]]))</f>
        <v>0.11705240714107301</v>
      </c>
      <c r="AI1634" s="35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56">
        <f t="shared" si="205"/>
        <v>2026</v>
      </c>
      <c r="C1635" s="129">
        <f t="shared" si="206"/>
        <v>2025</v>
      </c>
      <c r="D1635" s="2" t="s">
        <v>155</v>
      </c>
      <c r="E1635" s="2" t="s">
        <v>155</v>
      </c>
      <c r="F1635" s="39">
        <v>45839</v>
      </c>
      <c r="G1635" s="2">
        <f>DAY(EOMONTH(TA[[#This Row],[Month Year]],0))</f>
        <v>31</v>
      </c>
      <c r="H1635" s="21">
        <v>45862</v>
      </c>
      <c r="I1635" s="41">
        <f>IFERROR(VLOOKUP(TA[[#This Row],[Date]],Raw_Data[[Date]:[Sunset Time (POA&lt;20 W/m2)]],3,0),"")</f>
        <v>0.26319444444444445</v>
      </c>
      <c r="J1635" s="41">
        <f>IFERROR(VLOOKUP(TA[[#This Row],[Date]],Raw_Data[[Date]:[Sunset Time (POA&lt;20 W/m2)]],4,0),"")</f>
        <v>0.77083333333333337</v>
      </c>
      <c r="K1635" s="35">
        <f>IFERROR((TA[[#This Row],[Sunset Time (POA&lt;20 W/m2)]]-TA[[#This Row],[Sunrise Time (POA&gt;20 W/m2)]])*24,"")</f>
        <v>12.183333333333335</v>
      </c>
      <c r="L1635" s="2" t="s">
        <v>294</v>
      </c>
      <c r="M1635" s="42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27" t="s">
        <v>316</v>
      </c>
      <c r="Q1635" s="126" t="s">
        <v>316</v>
      </c>
      <c r="R1635">
        <v>118</v>
      </c>
      <c r="S1635" s="2">
        <v>22</v>
      </c>
      <c r="T1635" t="s">
        <v>295</v>
      </c>
      <c r="U1635" t="s">
        <v>300</v>
      </c>
      <c r="V1635" t="s">
        <v>298</v>
      </c>
      <c r="W1635" s="41"/>
      <c r="X1635" s="41"/>
      <c r="Y1635" s="34"/>
      <c r="Z1635" s="34"/>
      <c r="AA1635" s="35">
        <f>IF(TA[[#This Row],[Work Start time on Fault]]="NA","",(TA[[#This Row],[Fault Acknowledgement Time ]]-TA[[#This Row],[Fault Time]])*24)</f>
        <v>0</v>
      </c>
      <c r="AB1635" s="35">
        <f>(TA[[#This Row],[Work Start time on Fault]]-TA[[#This Row],[Fault Time]])*24</f>
        <v>0</v>
      </c>
      <c r="AC1635" s="34">
        <f>(TA[[#This Row],[Work Completion time on fault]]-TA[[#This Row],[Fault Time]])*24</f>
        <v>0</v>
      </c>
      <c r="AD1635" s="35">
        <f>IFERROR((TA[[#This Row],[Work Completion time on fault]]-TA[[#This Row],[Fault Time]])*24,"")</f>
        <v>0</v>
      </c>
      <c r="AE1635" t="s">
        <v>328</v>
      </c>
      <c r="AF1635" t="s">
        <v>256</v>
      </c>
      <c r="AG1635" s="2"/>
      <c r="AH1635" s="44">
        <f>1-COS(RADIANS(TA[[#This Row],[Avg. Target Angle during Fault Time (Radians)]]-TA[[#This Row],[Angle of affected equipment ]]))</f>
        <v>0.11705240714107301</v>
      </c>
      <c r="AI1635" s="35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56">
        <f t="shared" si="205"/>
        <v>2026</v>
      </c>
      <c r="C1636" s="129">
        <f t="shared" si="206"/>
        <v>2025</v>
      </c>
      <c r="D1636" s="2" t="s">
        <v>155</v>
      </c>
      <c r="E1636" s="2" t="s">
        <v>155</v>
      </c>
      <c r="F1636" s="39">
        <v>45839</v>
      </c>
      <c r="G1636" s="2">
        <f>DAY(EOMONTH(TA[[#This Row],[Month Year]],0))</f>
        <v>31</v>
      </c>
      <c r="H1636" s="21">
        <v>45862</v>
      </c>
      <c r="I1636" s="41">
        <f>IFERROR(VLOOKUP(TA[[#This Row],[Date]],Raw_Data[[Date]:[Sunset Time (POA&lt;20 W/m2)]],3,0),"")</f>
        <v>0.26319444444444445</v>
      </c>
      <c r="J1636" s="41">
        <f>IFERROR(VLOOKUP(TA[[#This Row],[Date]],Raw_Data[[Date]:[Sunset Time (POA&lt;20 W/m2)]],4,0),"")</f>
        <v>0.77083333333333337</v>
      </c>
      <c r="K1636" s="35">
        <f>IFERROR((TA[[#This Row],[Sunset Time (POA&lt;20 W/m2)]]-TA[[#This Row],[Sunrise Time (POA&gt;20 W/m2)]])*24,"")</f>
        <v>12.183333333333335</v>
      </c>
      <c r="L1636" s="2" t="s">
        <v>296</v>
      </c>
      <c r="M1636" s="42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323</v>
      </c>
      <c r="Q1636" s="2" t="s">
        <v>329</v>
      </c>
      <c r="R1636">
        <v>45</v>
      </c>
      <c r="S1636" s="2">
        <v>8</v>
      </c>
      <c r="T1636" t="s">
        <v>297</v>
      </c>
      <c r="U1636" t="s">
        <v>300</v>
      </c>
      <c r="V1636" t="s">
        <v>301</v>
      </c>
      <c r="W1636" s="41"/>
      <c r="X1636" s="41"/>
      <c r="Y1636" s="34"/>
      <c r="Z1636" s="34"/>
      <c r="AA1636" s="35">
        <f>IF(TA[[#This Row],[Work Start time on Fault]]="NA","",(TA[[#This Row],[Fault Acknowledgement Time ]]-TA[[#This Row],[Fault Time]])*24)</f>
        <v>0</v>
      </c>
      <c r="AB1636" s="35">
        <f>(TA[[#This Row],[Work Start time on Fault]]-TA[[#This Row],[Fault Time]])*24</f>
        <v>0</v>
      </c>
      <c r="AC1636" s="34">
        <f>(TA[[#This Row],[Work Completion time on fault]]-TA[[#This Row],[Fault Time]])*24</f>
        <v>0</v>
      </c>
      <c r="AD1636" s="35">
        <f>IFERROR((TA[[#This Row],[Work Completion time on fault]]-TA[[#This Row],[Fault Time]])*24,"")</f>
        <v>0</v>
      </c>
      <c r="AE1636" t="s">
        <v>328</v>
      </c>
      <c r="AF1636" t="s">
        <v>256</v>
      </c>
      <c r="AG1636" s="2"/>
      <c r="AH1636" s="44">
        <f>1-COS(RADIANS(TA[[#This Row],[Avg. Target Angle during Fault Time (Radians)]]-TA[[#This Row],[Angle of affected equipment ]]))</f>
        <v>0.11705240714107301</v>
      </c>
      <c r="AI1636" s="35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56">
        <f t="shared" si="205"/>
        <v>2026</v>
      </c>
      <c r="C1637" s="129">
        <f t="shared" si="206"/>
        <v>2025</v>
      </c>
      <c r="D1637" s="2" t="s">
        <v>155</v>
      </c>
      <c r="E1637" s="2" t="s">
        <v>155</v>
      </c>
      <c r="F1637" s="39">
        <v>45839</v>
      </c>
      <c r="G1637" s="2">
        <f>DAY(EOMONTH(TA[[#This Row],[Month Year]],0))</f>
        <v>31</v>
      </c>
      <c r="H1637" s="21">
        <v>45862</v>
      </c>
      <c r="I1637" s="41">
        <f>IFERROR(VLOOKUP(TA[[#This Row],[Date]],Raw_Data[[Date]:[Sunset Time (POA&lt;20 W/m2)]],3,0),"")</f>
        <v>0.26319444444444445</v>
      </c>
      <c r="J1637" s="41">
        <f>IFERROR(VLOOKUP(TA[[#This Row],[Date]],Raw_Data[[Date]:[Sunset Time (POA&lt;20 W/m2)]],4,0),"")</f>
        <v>0.77083333333333337</v>
      </c>
      <c r="K1637" s="35">
        <f>IFERROR((TA[[#This Row],[Sunset Time (POA&lt;20 W/m2)]]-TA[[#This Row],[Sunrise Time (POA&gt;20 W/m2)]])*24,"")</f>
        <v>12.183333333333335</v>
      </c>
      <c r="L1637" s="2" t="s">
        <v>296</v>
      </c>
      <c r="M1637" s="42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323</v>
      </c>
      <c r="Q1637" s="2" t="s">
        <v>329</v>
      </c>
      <c r="R1637">
        <v>47</v>
      </c>
      <c r="S1637" s="2">
        <v>18</v>
      </c>
      <c r="T1637" t="s">
        <v>297</v>
      </c>
      <c r="U1637" t="s">
        <v>300</v>
      </c>
      <c r="V1637" t="s">
        <v>301</v>
      </c>
      <c r="W1637" s="41"/>
      <c r="X1637" s="41"/>
      <c r="Y1637" s="34"/>
      <c r="Z1637" s="34"/>
      <c r="AA1637" s="35">
        <f>IF(TA[[#This Row],[Work Start time on Fault]]="NA","",(TA[[#This Row],[Fault Acknowledgement Time ]]-TA[[#This Row],[Fault Time]])*24)</f>
        <v>0</v>
      </c>
      <c r="AB1637" s="35">
        <f>(TA[[#This Row],[Work Start time on Fault]]-TA[[#This Row],[Fault Time]])*24</f>
        <v>0</v>
      </c>
      <c r="AC1637" s="34">
        <f>(TA[[#This Row],[Work Completion time on fault]]-TA[[#This Row],[Fault Time]])*24</f>
        <v>0</v>
      </c>
      <c r="AD1637" s="35">
        <f>IFERROR((TA[[#This Row],[Work Completion time on fault]]-TA[[#This Row],[Fault Time]])*24,"")</f>
        <v>0</v>
      </c>
      <c r="AE1637" t="s">
        <v>328</v>
      </c>
      <c r="AF1637" t="s">
        <v>256</v>
      </c>
      <c r="AG1637" s="2"/>
      <c r="AH1637" s="44">
        <f>1-COS(RADIANS(TA[[#This Row],[Avg. Target Angle during Fault Time (Radians)]]-TA[[#This Row],[Angle of affected equipment ]]))</f>
        <v>0.11705240714107301</v>
      </c>
      <c r="AI1637" s="35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56">
        <f t="shared" si="205"/>
        <v>2026</v>
      </c>
      <c r="C1638" s="129">
        <f t="shared" si="206"/>
        <v>2025</v>
      </c>
      <c r="D1638" s="2" t="s">
        <v>155</v>
      </c>
      <c r="E1638" s="2" t="s">
        <v>155</v>
      </c>
      <c r="F1638" s="39">
        <v>45839</v>
      </c>
      <c r="G1638" s="2">
        <f>DAY(EOMONTH(TA[[#This Row],[Month Year]],0))</f>
        <v>31</v>
      </c>
      <c r="H1638" s="21">
        <v>45862</v>
      </c>
      <c r="I1638" s="41">
        <f>IFERROR(VLOOKUP(TA[[#This Row],[Date]],Raw_Data[[Date]:[Sunset Time (POA&lt;20 W/m2)]],3,0),"")</f>
        <v>0.26319444444444445</v>
      </c>
      <c r="J1638" s="41">
        <f>IFERROR(VLOOKUP(TA[[#This Row],[Date]],Raw_Data[[Date]:[Sunset Time (POA&lt;20 W/m2)]],4,0),"")</f>
        <v>0.77083333333333337</v>
      </c>
      <c r="K1638" s="35">
        <f>IFERROR((TA[[#This Row],[Sunset Time (POA&lt;20 W/m2)]]-TA[[#This Row],[Sunrise Time (POA&gt;20 W/m2)]])*24,"")</f>
        <v>12.183333333333335</v>
      </c>
      <c r="L1638" s="2" t="s">
        <v>296</v>
      </c>
      <c r="M1638" s="42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330</v>
      </c>
      <c r="Q1638" s="2" t="s">
        <v>323</v>
      </c>
      <c r="R1638">
        <v>30</v>
      </c>
      <c r="S1638" s="2">
        <v>57</v>
      </c>
      <c r="T1638" t="s">
        <v>297</v>
      </c>
      <c r="U1638" t="s">
        <v>300</v>
      </c>
      <c r="V1638" t="s">
        <v>301</v>
      </c>
      <c r="W1638" s="41"/>
      <c r="X1638" s="41"/>
      <c r="Y1638" s="34"/>
      <c r="Z1638" s="34"/>
      <c r="AA1638" s="35">
        <f>IF(TA[[#This Row],[Work Start time on Fault]]="NA","",(TA[[#This Row],[Fault Acknowledgement Time ]]-TA[[#This Row],[Fault Time]])*24)</f>
        <v>0</v>
      </c>
      <c r="AB1638" s="35">
        <f>(TA[[#This Row],[Work Start time on Fault]]-TA[[#This Row],[Fault Time]])*24</f>
        <v>0</v>
      </c>
      <c r="AC1638" s="34">
        <f>(TA[[#This Row],[Work Completion time on fault]]-TA[[#This Row],[Fault Time]])*24</f>
        <v>0</v>
      </c>
      <c r="AD1638" s="35">
        <f>IFERROR((TA[[#This Row],[Work Completion time on fault]]-TA[[#This Row],[Fault Time]])*24,"")</f>
        <v>0</v>
      </c>
      <c r="AE1638" t="s">
        <v>328</v>
      </c>
      <c r="AF1638" t="s">
        <v>256</v>
      </c>
      <c r="AG1638" s="2"/>
      <c r="AH1638" s="44">
        <f>1-COS(RADIANS(TA[[#This Row],[Avg. Target Angle during Fault Time (Radians)]]-TA[[#This Row],[Angle of affected equipment ]]))</f>
        <v>0.11705240714107301</v>
      </c>
      <c r="AI1638" s="35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56">
        <f t="shared" si="205"/>
        <v>2026</v>
      </c>
      <c r="C1639" s="129">
        <f t="shared" si="206"/>
        <v>2025</v>
      </c>
      <c r="D1639" s="2" t="s">
        <v>155</v>
      </c>
      <c r="E1639" s="2" t="s">
        <v>155</v>
      </c>
      <c r="F1639" s="39">
        <v>45839</v>
      </c>
      <c r="G1639" s="2">
        <f>DAY(EOMONTH(TA[[#This Row],[Month Year]],0))</f>
        <v>31</v>
      </c>
      <c r="H1639" s="21">
        <v>45862</v>
      </c>
      <c r="I1639" s="41">
        <f>IFERROR(VLOOKUP(TA[[#This Row],[Date]],Raw_Data[[Date]:[Sunset Time (POA&lt;20 W/m2)]],3,0),"")</f>
        <v>0.26319444444444445</v>
      </c>
      <c r="J1639" s="41">
        <f>IFERROR(VLOOKUP(TA[[#This Row],[Date]],Raw_Data[[Date]:[Sunset Time (POA&lt;20 W/m2)]],4,0),"")</f>
        <v>0.77083333333333337</v>
      </c>
      <c r="K1639" s="35">
        <f>IFERROR((TA[[#This Row],[Sunset Time (POA&lt;20 W/m2)]]-TA[[#This Row],[Sunrise Time (POA&gt;20 W/m2)]])*24,"")</f>
        <v>12.183333333333335</v>
      </c>
      <c r="L1639" s="2" t="s">
        <v>296</v>
      </c>
      <c r="M1639" s="42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330</v>
      </c>
      <c r="Q1639" s="2" t="s">
        <v>323</v>
      </c>
      <c r="R1639">
        <v>31</v>
      </c>
      <c r="S1639" s="2">
        <v>61</v>
      </c>
      <c r="T1639" t="s">
        <v>297</v>
      </c>
      <c r="U1639" t="s">
        <v>300</v>
      </c>
      <c r="V1639" t="s">
        <v>301</v>
      </c>
      <c r="W1639" s="41"/>
      <c r="X1639" s="41"/>
      <c r="Y1639" s="34"/>
      <c r="Z1639" s="34"/>
      <c r="AA1639" s="35">
        <f>IF(TA[[#This Row],[Work Start time on Fault]]="NA","",(TA[[#This Row],[Fault Acknowledgement Time ]]-TA[[#This Row],[Fault Time]])*24)</f>
        <v>0</v>
      </c>
      <c r="AB1639" s="35">
        <f>(TA[[#This Row],[Work Start time on Fault]]-TA[[#This Row],[Fault Time]])*24</f>
        <v>0</v>
      </c>
      <c r="AC1639" s="34">
        <f>(TA[[#This Row],[Work Completion time on fault]]-TA[[#This Row],[Fault Time]])*24</f>
        <v>0</v>
      </c>
      <c r="AD1639" s="35">
        <f>IFERROR((TA[[#This Row],[Work Completion time on fault]]-TA[[#This Row],[Fault Time]])*24,"")</f>
        <v>0</v>
      </c>
      <c r="AE1639" t="s">
        <v>328</v>
      </c>
      <c r="AF1639" t="s">
        <v>256</v>
      </c>
      <c r="AG1639" s="2"/>
      <c r="AH1639" s="44">
        <f>1-COS(RADIANS(TA[[#This Row],[Avg. Target Angle during Fault Time (Radians)]]-TA[[#This Row],[Angle of affected equipment ]]))</f>
        <v>0.11705240714107301</v>
      </c>
      <c r="AI1639" s="35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56">
        <f t="shared" si="205"/>
        <v>2026</v>
      </c>
      <c r="C1640" s="129">
        <f t="shared" si="206"/>
        <v>2025</v>
      </c>
      <c r="D1640" s="2" t="s">
        <v>155</v>
      </c>
      <c r="E1640" s="2" t="s">
        <v>155</v>
      </c>
      <c r="F1640" s="39">
        <v>45839</v>
      </c>
      <c r="G1640" s="2">
        <f>DAY(EOMONTH(TA[[#This Row],[Month Year]],0))</f>
        <v>31</v>
      </c>
      <c r="H1640" s="21">
        <v>45862</v>
      </c>
      <c r="I1640" s="41">
        <f>IFERROR(VLOOKUP(TA[[#This Row],[Date]],Raw_Data[[Date]:[Sunset Time (POA&lt;20 W/m2)]],3,0),"")</f>
        <v>0.26319444444444445</v>
      </c>
      <c r="J1640" s="41">
        <f>IFERROR(VLOOKUP(TA[[#This Row],[Date]],Raw_Data[[Date]:[Sunset Time (POA&lt;20 W/m2)]],4,0),"")</f>
        <v>0.77083333333333337</v>
      </c>
      <c r="K1640" s="35">
        <f>IFERROR((TA[[#This Row],[Sunset Time (POA&lt;20 W/m2)]]-TA[[#This Row],[Sunrise Time (POA&gt;20 W/m2)]])*24,"")</f>
        <v>12.183333333333335</v>
      </c>
      <c r="L1640" s="2" t="s">
        <v>312</v>
      </c>
      <c r="M1640" s="42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330</v>
      </c>
      <c r="Q1640" s="2" t="s">
        <v>323</v>
      </c>
      <c r="R1640">
        <v>26</v>
      </c>
      <c r="S1640" s="2">
        <v>37</v>
      </c>
      <c r="T1640" t="s">
        <v>297</v>
      </c>
      <c r="U1640" t="s">
        <v>300</v>
      </c>
      <c r="V1640" t="s">
        <v>301</v>
      </c>
      <c r="W1640" s="41"/>
      <c r="X1640" s="41"/>
      <c r="Y1640" s="34"/>
      <c r="Z1640" s="34"/>
      <c r="AA1640" s="35">
        <f>IF(TA[[#This Row],[Work Start time on Fault]]="NA","",(TA[[#This Row],[Fault Acknowledgement Time ]]-TA[[#This Row],[Fault Time]])*24)</f>
        <v>0</v>
      </c>
      <c r="AB1640" s="35">
        <f>(TA[[#This Row],[Work Start time on Fault]]-TA[[#This Row],[Fault Time]])*24</f>
        <v>0</v>
      </c>
      <c r="AC1640" s="34">
        <f>(TA[[#This Row],[Work Completion time on fault]]-TA[[#This Row],[Fault Time]])*24</f>
        <v>0</v>
      </c>
      <c r="AD1640" s="35">
        <f>IFERROR((TA[[#This Row],[Work Completion time on fault]]-TA[[#This Row],[Fault Time]])*24,"")</f>
        <v>0</v>
      </c>
      <c r="AE1640" t="s">
        <v>328</v>
      </c>
      <c r="AF1640" t="s">
        <v>256</v>
      </c>
      <c r="AG1640" s="2"/>
      <c r="AH1640" s="44">
        <f>1-COS(RADIANS(TA[[#This Row],[Avg. Target Angle during Fault Time (Radians)]]-TA[[#This Row],[Angle of affected equipment ]]))</f>
        <v>0.11705240714107301</v>
      </c>
      <c r="AI1640" s="35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56">
        <f t="shared" si="205"/>
        <v>2026</v>
      </c>
      <c r="C1641" s="129">
        <f t="shared" si="206"/>
        <v>2025</v>
      </c>
      <c r="D1641" s="2" t="s">
        <v>155</v>
      </c>
      <c r="E1641" s="2" t="s">
        <v>155</v>
      </c>
      <c r="F1641" s="39">
        <v>45839</v>
      </c>
      <c r="G1641" s="2">
        <f>DAY(EOMONTH(TA[[#This Row],[Month Year]],0))</f>
        <v>31</v>
      </c>
      <c r="H1641" s="21">
        <v>45862</v>
      </c>
      <c r="I1641" s="41">
        <f>IFERROR(VLOOKUP(TA[[#This Row],[Date]],Raw_Data[[Date]:[Sunset Time (POA&lt;20 W/m2)]],3,0),"")</f>
        <v>0.26319444444444445</v>
      </c>
      <c r="J1641" s="41">
        <f>IFERROR(VLOOKUP(TA[[#This Row],[Date]],Raw_Data[[Date]:[Sunset Time (POA&lt;20 W/m2)]],4,0),"")</f>
        <v>0.77083333333333337</v>
      </c>
      <c r="K1641" s="35">
        <f>IFERROR((TA[[#This Row],[Sunset Time (POA&lt;20 W/m2)]]-TA[[#This Row],[Sunrise Time (POA&gt;20 W/m2)]])*24,"")</f>
        <v>12.183333333333335</v>
      </c>
      <c r="L1641" s="2" t="s">
        <v>312</v>
      </c>
      <c r="M1641" s="42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330</v>
      </c>
      <c r="Q1641" s="2" t="s">
        <v>323</v>
      </c>
      <c r="R1641">
        <v>27</v>
      </c>
      <c r="S1641" s="2">
        <v>42</v>
      </c>
      <c r="T1641" t="s">
        <v>297</v>
      </c>
      <c r="U1641" t="s">
        <v>300</v>
      </c>
      <c r="V1641" t="s">
        <v>301</v>
      </c>
      <c r="W1641" s="41">
        <f>IFERROR(VLOOKUP(TA[[#This Row],[Date]],Raw_Data[[Date]:[Sunset Time (POA&lt;20 W/m2)]],3,0),"")</f>
        <v>0.26319444444444445</v>
      </c>
      <c r="X1641" s="41">
        <f>IFERROR(VLOOKUP(TA[[#This Row],[Date]],Raw_Data[[Date]:[Sunset Time (POA&lt;20 W/m2)]],3,0),"")</f>
        <v>0.26319444444444445</v>
      </c>
      <c r="Y1641" s="34"/>
      <c r="Z1641" s="34">
        <v>0.76041666666666663</v>
      </c>
      <c r="AA1641" s="35">
        <f>IF(TA[[#This Row],[Work Start time on Fault]]="NA","",(TA[[#This Row],[Fault Acknowledgement Time ]]-TA[[#This Row],[Fault Time]])*24)</f>
        <v>0</v>
      </c>
      <c r="AB1641" s="35">
        <f>(TA[[#This Row],[Work Start time on Fault]]-TA[[#This Row],[Fault Time]])*24</f>
        <v>-6.3166666666666664</v>
      </c>
      <c r="AC1641" s="34">
        <f>(TA[[#This Row],[Work Completion time on fault]]-TA[[#This Row],[Fault Time]])*24</f>
        <v>11.933333333333332</v>
      </c>
      <c r="AD1641" s="35">
        <f>IFERROR((TA[[#This Row],[Work Completion time on fault]]-TA[[#This Row],[Fault Time]])*24,"")</f>
        <v>11.933333333333332</v>
      </c>
      <c r="AE1641" t="s">
        <v>309</v>
      </c>
      <c r="AF1641" t="s">
        <v>256</v>
      </c>
      <c r="AG1641" s="2"/>
      <c r="AH1641" s="44">
        <f>1-COS(RADIANS(TA[[#This Row],[Avg. Target Angle during Fault Time (Radians)]]-TA[[#This Row],[Angle of affected equipment ]]))</f>
        <v>0.11705240714107301</v>
      </c>
      <c r="AI1641" s="35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56">
        <f t="shared" ref="B1642:B1667" si="207">YEAR(H1642)+IF(MONTH(H1642)&gt;=4,1,0)</f>
        <v>2026</v>
      </c>
      <c r="C1642" s="129">
        <f t="shared" ref="C1642:C1667" si="208">YEAR(H1642)</f>
        <v>2025</v>
      </c>
      <c r="D1642" s="2" t="s">
        <v>155</v>
      </c>
      <c r="E1642" s="2" t="s">
        <v>155</v>
      </c>
      <c r="F1642" s="39">
        <v>45839</v>
      </c>
      <c r="G1642" s="2">
        <f>DAY(EOMONTH(TA[[#This Row],[Month Year]],0))</f>
        <v>31</v>
      </c>
      <c r="H1642" s="21">
        <v>45863</v>
      </c>
      <c r="I1642" s="41">
        <f>IFERROR(VLOOKUP(TA[[#This Row],[Date]],Raw_Data[[Date]:[Sunset Time (POA&lt;20 W/m2)]],3,0),"")</f>
        <v>0.26319444444444445</v>
      </c>
      <c r="J1642" s="41">
        <f>IFERROR(VLOOKUP(TA[[#This Row],[Date]],Raw_Data[[Date]:[Sunset Time (POA&lt;20 W/m2)]],4,0),"")</f>
        <v>0.77083333333333337</v>
      </c>
      <c r="K1642" s="35">
        <f>IFERROR((TA[[#This Row],[Sunset Time (POA&lt;20 W/m2)]]-TA[[#This Row],[Sunrise Time (POA&gt;20 W/m2)]])*24,"")</f>
        <v>12.183333333333335</v>
      </c>
      <c r="L1642" s="2" t="s">
        <v>294</v>
      </c>
      <c r="M1642" s="42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27" t="s">
        <v>318</v>
      </c>
      <c r="Q1642" s="126" t="s">
        <v>318</v>
      </c>
      <c r="R1642">
        <v>131</v>
      </c>
      <c r="S1642" s="2">
        <v>38</v>
      </c>
      <c r="T1642" t="s">
        <v>295</v>
      </c>
      <c r="U1642" t="s">
        <v>300</v>
      </c>
      <c r="V1642" t="s">
        <v>298</v>
      </c>
      <c r="W1642" s="41"/>
      <c r="X1642" s="41"/>
      <c r="Y1642" s="34"/>
      <c r="Z1642" s="34"/>
      <c r="AA1642" s="35">
        <f>IF(TA[[#This Row],[Work Start time on Fault]]="NA","",(TA[[#This Row],[Fault Acknowledgement Time ]]-TA[[#This Row],[Fault Time]])*24)</f>
        <v>0</v>
      </c>
      <c r="AB1642" s="35">
        <f>(TA[[#This Row],[Work Start time on Fault]]-TA[[#This Row],[Fault Time]])*24</f>
        <v>0</v>
      </c>
      <c r="AC1642" s="34">
        <f>(TA[[#This Row],[Work Completion time on fault]]-TA[[#This Row],[Fault Time]])*24</f>
        <v>0</v>
      </c>
      <c r="AD1642" s="35">
        <f>IFERROR((TA[[#This Row],[Work Completion time on fault]]-TA[[#This Row],[Fault Time]])*24,"")</f>
        <v>0</v>
      </c>
      <c r="AE1642" t="s">
        <v>328</v>
      </c>
      <c r="AF1642" t="s">
        <v>256</v>
      </c>
      <c r="AG1642" s="2"/>
      <c r="AH1642" s="44">
        <f>1-COS(RADIANS(TA[[#This Row],[Avg. Target Angle during Fault Time (Radians)]]-TA[[#This Row],[Angle of affected equipment ]]))</f>
        <v>0.11705240714107301</v>
      </c>
      <c r="AI1642" s="35">
        <f>IFERROR(TA[[#This Row],[Breakdown Time]]*TA[[#This Row],[Plant Equivalent Weightage]],"")</f>
        <v>0</v>
      </c>
    </row>
    <row r="1643" spans="1:35">
      <c r="A1643" s="2">
        <f t="shared" ref="A1643:A1706" si="209">A1642+1</f>
        <v>1640</v>
      </c>
      <c r="B1643" s="156">
        <f t="shared" si="207"/>
        <v>2026</v>
      </c>
      <c r="C1643" s="129">
        <f t="shared" si="208"/>
        <v>2025</v>
      </c>
      <c r="D1643" s="2" t="s">
        <v>155</v>
      </c>
      <c r="E1643" s="2" t="s">
        <v>155</v>
      </c>
      <c r="F1643" s="39">
        <v>45839</v>
      </c>
      <c r="G1643" s="2">
        <f>DAY(EOMONTH(TA[[#This Row],[Month Year]],0))</f>
        <v>31</v>
      </c>
      <c r="H1643" s="21">
        <v>45863</v>
      </c>
      <c r="I1643" s="41">
        <f>IFERROR(VLOOKUP(TA[[#This Row],[Date]],Raw_Data[[Date]:[Sunset Time (POA&lt;20 W/m2)]],3,0),"")</f>
        <v>0.26319444444444445</v>
      </c>
      <c r="J1643" s="41">
        <f>IFERROR(VLOOKUP(TA[[#This Row],[Date]],Raw_Data[[Date]:[Sunset Time (POA&lt;20 W/m2)]],4,0),"")</f>
        <v>0.77083333333333337</v>
      </c>
      <c r="K1643" s="35">
        <f>IFERROR((TA[[#This Row],[Sunset Time (POA&lt;20 W/m2)]]-TA[[#This Row],[Sunrise Time (POA&gt;20 W/m2)]])*24,"")</f>
        <v>12.183333333333335</v>
      </c>
      <c r="L1643" s="2" t="s">
        <v>294</v>
      </c>
      <c r="M1643" s="42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27" t="s">
        <v>318</v>
      </c>
      <c r="Q1643" s="126" t="s">
        <v>318</v>
      </c>
      <c r="R1643">
        <v>131</v>
      </c>
      <c r="S1643" s="2">
        <v>39</v>
      </c>
      <c r="T1643" t="s">
        <v>295</v>
      </c>
      <c r="U1643" t="s">
        <v>300</v>
      </c>
      <c r="V1643" t="s">
        <v>298</v>
      </c>
      <c r="W1643" s="41"/>
      <c r="X1643" s="41"/>
      <c r="Y1643" s="34"/>
      <c r="Z1643" s="34"/>
      <c r="AA1643" s="35">
        <f>IF(TA[[#This Row],[Work Start time on Fault]]="NA","",(TA[[#This Row],[Fault Acknowledgement Time ]]-TA[[#This Row],[Fault Time]])*24)</f>
        <v>0</v>
      </c>
      <c r="AB1643" s="35">
        <f>(TA[[#This Row],[Work Start time on Fault]]-TA[[#This Row],[Fault Time]])*24</f>
        <v>0</v>
      </c>
      <c r="AC1643" s="34">
        <f>(TA[[#This Row],[Work Completion time on fault]]-TA[[#This Row],[Fault Time]])*24</f>
        <v>0</v>
      </c>
      <c r="AD1643" s="35">
        <f>IFERROR((TA[[#This Row],[Work Completion time on fault]]-TA[[#This Row],[Fault Time]])*24,"")</f>
        <v>0</v>
      </c>
      <c r="AE1643" t="s">
        <v>328</v>
      </c>
      <c r="AF1643" t="s">
        <v>256</v>
      </c>
      <c r="AG1643" s="2"/>
      <c r="AH1643" s="44">
        <f>1-COS(RADIANS(TA[[#This Row],[Avg. Target Angle during Fault Time (Radians)]]-TA[[#This Row],[Angle of affected equipment ]]))</f>
        <v>0.11705240714107301</v>
      </c>
      <c r="AI1643" s="35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56">
        <f t="shared" si="207"/>
        <v>2026</v>
      </c>
      <c r="C1644" s="129">
        <f t="shared" si="208"/>
        <v>2025</v>
      </c>
      <c r="D1644" s="2" t="s">
        <v>155</v>
      </c>
      <c r="E1644" s="2" t="s">
        <v>155</v>
      </c>
      <c r="F1644" s="39">
        <v>45839</v>
      </c>
      <c r="G1644" s="2">
        <f>DAY(EOMONTH(TA[[#This Row],[Month Year]],0))</f>
        <v>31</v>
      </c>
      <c r="H1644" s="21">
        <v>45863</v>
      </c>
      <c r="I1644" s="41">
        <f>IFERROR(VLOOKUP(TA[[#This Row],[Date]],Raw_Data[[Date]:[Sunset Time (POA&lt;20 W/m2)]],3,0),"")</f>
        <v>0.26319444444444445</v>
      </c>
      <c r="J1644" s="41">
        <f>IFERROR(VLOOKUP(TA[[#This Row],[Date]],Raw_Data[[Date]:[Sunset Time (POA&lt;20 W/m2)]],4,0),"")</f>
        <v>0.77083333333333337</v>
      </c>
      <c r="K1644" s="35">
        <f>IFERROR((TA[[#This Row],[Sunset Time (POA&lt;20 W/m2)]]-TA[[#This Row],[Sunrise Time (POA&gt;20 W/m2)]])*24,"")</f>
        <v>12.183333333333335</v>
      </c>
      <c r="L1644" s="2" t="s">
        <v>296</v>
      </c>
      <c r="M1644" s="42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27" t="s">
        <v>318</v>
      </c>
      <c r="Q1644" s="2" t="s">
        <v>321</v>
      </c>
      <c r="R1644">
        <v>133</v>
      </c>
      <c r="S1644" s="2">
        <v>26</v>
      </c>
      <c r="T1644" t="s">
        <v>297</v>
      </c>
      <c r="U1644" t="s">
        <v>300</v>
      </c>
      <c r="V1644" t="s">
        <v>314</v>
      </c>
      <c r="W1644" s="41">
        <f>IFERROR(VLOOKUP(TA[[#This Row],[Date]],Raw_Data[[Date]:[Sunset Time (POA&lt;20 W/m2)]],3,0),"")</f>
        <v>0.26319444444444445</v>
      </c>
      <c r="X1644" s="41">
        <f>IFERROR(VLOOKUP(TA[[#This Row],[Date]],Raw_Data[[Date]:[Sunset Time (POA&lt;20 W/m2)]],3,0),"")</f>
        <v>0.26319444444444445</v>
      </c>
      <c r="Y1644" s="34"/>
      <c r="Z1644" s="34">
        <v>0.76041666666666663</v>
      </c>
      <c r="AA1644" s="35">
        <f>IF(TA[[#This Row],[Work Start time on Fault]]="NA","",(TA[[#This Row],[Fault Acknowledgement Time ]]-TA[[#This Row],[Fault Time]])*24)</f>
        <v>0</v>
      </c>
      <c r="AB1644" s="35">
        <f>(TA[[#This Row],[Work Start time on Fault]]-TA[[#This Row],[Fault Time]])*24</f>
        <v>-6.3166666666666664</v>
      </c>
      <c r="AC1644" s="34">
        <f>(TA[[#This Row],[Work Completion time on fault]]-TA[[#This Row],[Fault Time]])*24</f>
        <v>11.933333333333332</v>
      </c>
      <c r="AD1644" s="35">
        <f>IFERROR((TA[[#This Row],[Work Completion time on fault]]-TA[[#This Row],[Fault Time]])*24,"")</f>
        <v>11.933333333333332</v>
      </c>
      <c r="AE1644" t="s">
        <v>328</v>
      </c>
      <c r="AF1644" t="s">
        <v>256</v>
      </c>
      <c r="AG1644" s="2"/>
      <c r="AH1644" s="44">
        <f>1-COS(RADIANS(TA[[#This Row],[Avg. Target Angle during Fault Time (Radians)]]-TA[[#This Row],[Angle of affected equipment ]]))</f>
        <v>0.11705240714107301</v>
      </c>
      <c r="AI1644" s="35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56">
        <f t="shared" si="207"/>
        <v>2026</v>
      </c>
      <c r="C1645" s="129">
        <f t="shared" si="208"/>
        <v>2025</v>
      </c>
      <c r="D1645" s="2" t="s">
        <v>155</v>
      </c>
      <c r="E1645" s="2" t="s">
        <v>155</v>
      </c>
      <c r="F1645" s="39">
        <v>45839</v>
      </c>
      <c r="G1645" s="2">
        <f>DAY(EOMONTH(TA[[#This Row],[Month Year]],0))</f>
        <v>31</v>
      </c>
      <c r="H1645" s="21">
        <v>45863</v>
      </c>
      <c r="I1645" s="41">
        <f>IFERROR(VLOOKUP(TA[[#This Row],[Date]],Raw_Data[[Date]:[Sunset Time (POA&lt;20 W/m2)]],3,0),"")</f>
        <v>0.26319444444444445</v>
      </c>
      <c r="J1645" s="41">
        <f>IFERROR(VLOOKUP(TA[[#This Row],[Date]],Raw_Data[[Date]:[Sunset Time (POA&lt;20 W/m2)]],4,0),"")</f>
        <v>0.77083333333333337</v>
      </c>
      <c r="K1645" s="35">
        <f>IFERROR((TA[[#This Row],[Sunset Time (POA&lt;20 W/m2)]]-TA[[#This Row],[Sunrise Time (POA&gt;20 W/m2)]])*24,"")</f>
        <v>12.183333333333335</v>
      </c>
      <c r="L1645" s="2" t="s">
        <v>294</v>
      </c>
      <c r="M1645" s="42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27" t="s">
        <v>316</v>
      </c>
      <c r="Q1645" s="126" t="s">
        <v>317</v>
      </c>
      <c r="R1645">
        <v>7</v>
      </c>
      <c r="S1645" s="2">
        <v>32</v>
      </c>
      <c r="T1645" t="s">
        <v>295</v>
      </c>
      <c r="U1645" t="s">
        <v>300</v>
      </c>
      <c r="V1645" t="s">
        <v>298</v>
      </c>
      <c r="W1645" s="41"/>
      <c r="X1645" s="41"/>
      <c r="Y1645" s="34"/>
      <c r="Z1645" s="34"/>
      <c r="AA1645" s="35">
        <f>IF(TA[[#This Row],[Work Start time on Fault]]="NA","",(TA[[#This Row],[Fault Acknowledgement Time ]]-TA[[#This Row],[Fault Time]])*24)</f>
        <v>0</v>
      </c>
      <c r="AB1645" s="35">
        <f>(TA[[#This Row],[Work Start time on Fault]]-TA[[#This Row],[Fault Time]])*24</f>
        <v>0</v>
      </c>
      <c r="AC1645" s="34">
        <f>(TA[[#This Row],[Work Completion time on fault]]-TA[[#This Row],[Fault Time]])*24</f>
        <v>0</v>
      </c>
      <c r="AD1645" s="35">
        <f>IFERROR((TA[[#This Row],[Work Completion time on fault]]-TA[[#This Row],[Fault Time]])*24,"")</f>
        <v>0</v>
      </c>
      <c r="AE1645" t="s">
        <v>328</v>
      </c>
      <c r="AF1645" t="s">
        <v>256</v>
      </c>
      <c r="AG1645" s="2"/>
      <c r="AH1645" s="44">
        <f>1-COS(RADIANS(TA[[#This Row],[Avg. Target Angle during Fault Time (Radians)]]-TA[[#This Row],[Angle of affected equipment ]]))</f>
        <v>0.11705240714107301</v>
      </c>
      <c r="AI1645" s="35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56">
        <f t="shared" si="207"/>
        <v>2026</v>
      </c>
      <c r="C1646" s="129">
        <f t="shared" si="208"/>
        <v>2025</v>
      </c>
      <c r="D1646" s="2" t="s">
        <v>155</v>
      </c>
      <c r="E1646" s="2" t="s">
        <v>155</v>
      </c>
      <c r="F1646" s="39">
        <v>45839</v>
      </c>
      <c r="G1646" s="2">
        <f>DAY(EOMONTH(TA[[#This Row],[Month Year]],0))</f>
        <v>31</v>
      </c>
      <c r="H1646" s="21">
        <v>45863</v>
      </c>
      <c r="I1646" s="41">
        <f>IFERROR(VLOOKUP(TA[[#This Row],[Date]],Raw_Data[[Date]:[Sunset Time (POA&lt;20 W/m2)]],3,0),"")</f>
        <v>0.26319444444444445</v>
      </c>
      <c r="J1646" s="41">
        <f>IFERROR(VLOOKUP(TA[[#This Row],[Date]],Raw_Data[[Date]:[Sunset Time (POA&lt;20 W/m2)]],4,0),"")</f>
        <v>0.77083333333333337</v>
      </c>
      <c r="K1646" s="35">
        <f>IFERROR((TA[[#This Row],[Sunset Time (POA&lt;20 W/m2)]]-TA[[#This Row],[Sunrise Time (POA&gt;20 W/m2)]])*24,"")</f>
        <v>12.183333333333335</v>
      </c>
      <c r="L1646" s="2" t="s">
        <v>294</v>
      </c>
      <c r="M1646" s="42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27" t="s">
        <v>315</v>
      </c>
      <c r="Q1646" s="126" t="s">
        <v>319</v>
      </c>
      <c r="R1646">
        <v>166</v>
      </c>
      <c r="S1646" s="2">
        <v>91</v>
      </c>
      <c r="T1646" t="s">
        <v>295</v>
      </c>
      <c r="U1646" t="s">
        <v>300</v>
      </c>
      <c r="V1646" t="s">
        <v>298</v>
      </c>
      <c r="W1646" s="41"/>
      <c r="X1646" s="41"/>
      <c r="Y1646" s="34"/>
      <c r="Z1646" s="34"/>
      <c r="AA1646" s="35">
        <f>IF(TA[[#This Row],[Work Start time on Fault]]="NA","",(TA[[#This Row],[Fault Acknowledgement Time ]]-TA[[#This Row],[Fault Time]])*24)</f>
        <v>0</v>
      </c>
      <c r="AB1646" s="35">
        <f>(TA[[#This Row],[Work Start time on Fault]]-TA[[#This Row],[Fault Time]])*24</f>
        <v>0</v>
      </c>
      <c r="AC1646" s="34">
        <f>(TA[[#This Row],[Work Completion time on fault]]-TA[[#This Row],[Fault Time]])*24</f>
        <v>0</v>
      </c>
      <c r="AD1646" s="35">
        <f>IFERROR((TA[[#This Row],[Work Completion time on fault]]-TA[[#This Row],[Fault Time]])*24,"")</f>
        <v>0</v>
      </c>
      <c r="AE1646" t="s">
        <v>328</v>
      </c>
      <c r="AF1646" t="s">
        <v>256</v>
      </c>
      <c r="AG1646" s="2"/>
      <c r="AH1646" s="44">
        <f>1-COS(RADIANS(TA[[#This Row],[Avg. Target Angle during Fault Time (Radians)]]-TA[[#This Row],[Angle of affected equipment ]]))</f>
        <v>0.11705240714107301</v>
      </c>
      <c r="AI1646" s="35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56">
        <f t="shared" si="207"/>
        <v>2026</v>
      </c>
      <c r="C1647" s="129">
        <f t="shared" si="208"/>
        <v>2025</v>
      </c>
      <c r="D1647" s="2" t="s">
        <v>155</v>
      </c>
      <c r="E1647" s="2" t="s">
        <v>155</v>
      </c>
      <c r="F1647" s="39">
        <v>45839</v>
      </c>
      <c r="G1647" s="2">
        <f>DAY(EOMONTH(TA[[#This Row],[Month Year]],0))</f>
        <v>31</v>
      </c>
      <c r="H1647" s="21">
        <v>45863</v>
      </c>
      <c r="I1647" s="41">
        <f>IFERROR(VLOOKUP(TA[[#This Row],[Date]],Raw_Data[[Date]:[Sunset Time (POA&lt;20 W/m2)]],3,0),"")</f>
        <v>0.26319444444444445</v>
      </c>
      <c r="J1647" s="41">
        <f>IFERROR(VLOOKUP(TA[[#This Row],[Date]],Raw_Data[[Date]:[Sunset Time (POA&lt;20 W/m2)]],4,0),"")</f>
        <v>0.77083333333333337</v>
      </c>
      <c r="K1647" s="35">
        <f>IFERROR((TA[[#This Row],[Sunset Time (POA&lt;20 W/m2)]]-TA[[#This Row],[Sunrise Time (POA&gt;20 W/m2)]])*24,"")</f>
        <v>12.183333333333335</v>
      </c>
      <c r="L1647" s="2" t="s">
        <v>294</v>
      </c>
      <c r="M1647" s="42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27" t="s">
        <v>316</v>
      </c>
      <c r="Q1647" s="126" t="s">
        <v>316</v>
      </c>
      <c r="R1647">
        <v>117</v>
      </c>
      <c r="S1647" s="2">
        <v>20</v>
      </c>
      <c r="T1647" t="s">
        <v>295</v>
      </c>
      <c r="U1647" t="s">
        <v>300</v>
      </c>
      <c r="V1647" t="s">
        <v>298</v>
      </c>
      <c r="W1647" s="41"/>
      <c r="X1647" s="41"/>
      <c r="Y1647" s="34"/>
      <c r="Z1647" s="34"/>
      <c r="AA1647" s="35">
        <f>IF(TA[[#This Row],[Work Start time on Fault]]="NA","",(TA[[#This Row],[Fault Acknowledgement Time ]]-TA[[#This Row],[Fault Time]])*24)</f>
        <v>0</v>
      </c>
      <c r="AB1647" s="35">
        <f>(TA[[#This Row],[Work Start time on Fault]]-TA[[#This Row],[Fault Time]])*24</f>
        <v>0</v>
      </c>
      <c r="AC1647" s="34">
        <f>(TA[[#This Row],[Work Completion time on fault]]-TA[[#This Row],[Fault Time]])*24</f>
        <v>0</v>
      </c>
      <c r="AD1647" s="35">
        <f>IFERROR((TA[[#This Row],[Work Completion time on fault]]-TA[[#This Row],[Fault Time]])*24,"")</f>
        <v>0</v>
      </c>
      <c r="AE1647" t="s">
        <v>328</v>
      </c>
      <c r="AF1647" t="s">
        <v>256</v>
      </c>
      <c r="AG1647" s="2"/>
      <c r="AH1647" s="44">
        <f>1-COS(RADIANS(TA[[#This Row],[Avg. Target Angle during Fault Time (Radians)]]-TA[[#This Row],[Angle of affected equipment ]]))</f>
        <v>0.11705240714107301</v>
      </c>
      <c r="AI1647" s="35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56">
        <f t="shared" si="207"/>
        <v>2026</v>
      </c>
      <c r="C1648" s="129">
        <f t="shared" si="208"/>
        <v>2025</v>
      </c>
      <c r="D1648" s="2" t="s">
        <v>155</v>
      </c>
      <c r="E1648" s="2" t="s">
        <v>155</v>
      </c>
      <c r="F1648" s="39">
        <v>45839</v>
      </c>
      <c r="G1648" s="2">
        <f>DAY(EOMONTH(TA[[#This Row],[Month Year]],0))</f>
        <v>31</v>
      </c>
      <c r="H1648" s="21">
        <v>45863</v>
      </c>
      <c r="I1648" s="41">
        <f>IFERROR(VLOOKUP(TA[[#This Row],[Date]],Raw_Data[[Date]:[Sunset Time (POA&lt;20 W/m2)]],3,0),"")</f>
        <v>0.26319444444444445</v>
      </c>
      <c r="J1648" s="41">
        <f>IFERROR(VLOOKUP(TA[[#This Row],[Date]],Raw_Data[[Date]:[Sunset Time (POA&lt;20 W/m2)]],4,0),"")</f>
        <v>0.77083333333333337</v>
      </c>
      <c r="K1648" s="35">
        <f>IFERROR((TA[[#This Row],[Sunset Time (POA&lt;20 W/m2)]]-TA[[#This Row],[Sunrise Time (POA&gt;20 W/m2)]])*24,"")</f>
        <v>12.183333333333335</v>
      </c>
      <c r="L1648" s="2" t="s">
        <v>294</v>
      </c>
      <c r="M1648" s="42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27" t="s">
        <v>316</v>
      </c>
      <c r="Q1648" s="126" t="s">
        <v>316</v>
      </c>
      <c r="R1648">
        <v>118</v>
      </c>
      <c r="S1648" s="2">
        <v>22</v>
      </c>
      <c r="T1648" t="s">
        <v>295</v>
      </c>
      <c r="U1648" t="s">
        <v>300</v>
      </c>
      <c r="V1648" t="s">
        <v>298</v>
      </c>
      <c r="W1648" s="41"/>
      <c r="X1648" s="41"/>
      <c r="Y1648" s="34"/>
      <c r="Z1648" s="34"/>
      <c r="AA1648" s="35">
        <f>IF(TA[[#This Row],[Work Start time on Fault]]="NA","",(TA[[#This Row],[Fault Acknowledgement Time ]]-TA[[#This Row],[Fault Time]])*24)</f>
        <v>0</v>
      </c>
      <c r="AB1648" s="35">
        <f>(TA[[#This Row],[Work Start time on Fault]]-TA[[#This Row],[Fault Time]])*24</f>
        <v>0</v>
      </c>
      <c r="AC1648" s="34">
        <f>(TA[[#This Row],[Work Completion time on fault]]-TA[[#This Row],[Fault Time]])*24</f>
        <v>0</v>
      </c>
      <c r="AD1648" s="35">
        <f>IFERROR((TA[[#This Row],[Work Completion time on fault]]-TA[[#This Row],[Fault Time]])*24,"")</f>
        <v>0</v>
      </c>
      <c r="AE1648" t="s">
        <v>328</v>
      </c>
      <c r="AF1648" t="s">
        <v>256</v>
      </c>
      <c r="AG1648" s="2"/>
      <c r="AH1648" s="44">
        <f>1-COS(RADIANS(TA[[#This Row],[Avg. Target Angle during Fault Time (Radians)]]-TA[[#This Row],[Angle of affected equipment ]]))</f>
        <v>0.11705240714107301</v>
      </c>
      <c r="AI1648" s="35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56">
        <f t="shared" si="207"/>
        <v>2026</v>
      </c>
      <c r="C1649" s="129">
        <f t="shared" si="208"/>
        <v>2025</v>
      </c>
      <c r="D1649" s="2" t="s">
        <v>155</v>
      </c>
      <c r="E1649" s="2" t="s">
        <v>155</v>
      </c>
      <c r="F1649" s="39">
        <v>45839</v>
      </c>
      <c r="G1649" s="2">
        <f>DAY(EOMONTH(TA[[#This Row],[Month Year]],0))</f>
        <v>31</v>
      </c>
      <c r="H1649" s="21">
        <v>45863</v>
      </c>
      <c r="I1649" s="41">
        <f>IFERROR(VLOOKUP(TA[[#This Row],[Date]],Raw_Data[[Date]:[Sunset Time (POA&lt;20 W/m2)]],3,0),"")</f>
        <v>0.26319444444444445</v>
      </c>
      <c r="J1649" s="41">
        <f>IFERROR(VLOOKUP(TA[[#This Row],[Date]],Raw_Data[[Date]:[Sunset Time (POA&lt;20 W/m2)]],4,0),"")</f>
        <v>0.77083333333333337</v>
      </c>
      <c r="K1649" s="35">
        <f>IFERROR((TA[[#This Row],[Sunset Time (POA&lt;20 W/m2)]]-TA[[#This Row],[Sunrise Time (POA&gt;20 W/m2)]])*24,"")</f>
        <v>12.183333333333335</v>
      </c>
      <c r="L1649" s="2" t="s">
        <v>296</v>
      </c>
      <c r="M1649" s="42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323</v>
      </c>
      <c r="Q1649" s="2" t="s">
        <v>329</v>
      </c>
      <c r="R1649">
        <v>45</v>
      </c>
      <c r="S1649" s="2">
        <v>8</v>
      </c>
      <c r="T1649" t="s">
        <v>297</v>
      </c>
      <c r="U1649" t="s">
        <v>300</v>
      </c>
      <c r="V1649" t="s">
        <v>301</v>
      </c>
      <c r="W1649" s="41"/>
      <c r="X1649" s="41"/>
      <c r="Y1649" s="34"/>
      <c r="Z1649" s="34"/>
      <c r="AA1649" s="35">
        <f>IF(TA[[#This Row],[Work Start time on Fault]]="NA","",(TA[[#This Row],[Fault Acknowledgement Time ]]-TA[[#This Row],[Fault Time]])*24)</f>
        <v>0</v>
      </c>
      <c r="AB1649" s="35">
        <f>(TA[[#This Row],[Work Start time on Fault]]-TA[[#This Row],[Fault Time]])*24</f>
        <v>0</v>
      </c>
      <c r="AC1649" s="34">
        <f>(TA[[#This Row],[Work Completion time on fault]]-TA[[#This Row],[Fault Time]])*24</f>
        <v>0</v>
      </c>
      <c r="AD1649" s="35">
        <f>IFERROR((TA[[#This Row],[Work Completion time on fault]]-TA[[#This Row],[Fault Time]])*24,"")</f>
        <v>0</v>
      </c>
      <c r="AE1649" t="s">
        <v>328</v>
      </c>
      <c r="AF1649" t="s">
        <v>256</v>
      </c>
      <c r="AG1649" s="2"/>
      <c r="AH1649" s="44">
        <f>1-COS(RADIANS(TA[[#This Row],[Avg. Target Angle during Fault Time (Radians)]]-TA[[#This Row],[Angle of affected equipment ]]))</f>
        <v>0.11705240714107301</v>
      </c>
      <c r="AI1649" s="35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56">
        <f t="shared" si="207"/>
        <v>2026</v>
      </c>
      <c r="C1650" s="129">
        <f t="shared" si="208"/>
        <v>2025</v>
      </c>
      <c r="D1650" s="2" t="s">
        <v>155</v>
      </c>
      <c r="E1650" s="2" t="s">
        <v>155</v>
      </c>
      <c r="F1650" s="39">
        <v>45839</v>
      </c>
      <c r="G1650" s="2">
        <f>DAY(EOMONTH(TA[[#This Row],[Month Year]],0))</f>
        <v>31</v>
      </c>
      <c r="H1650" s="21">
        <v>45863</v>
      </c>
      <c r="I1650" s="41">
        <f>IFERROR(VLOOKUP(TA[[#This Row],[Date]],Raw_Data[[Date]:[Sunset Time (POA&lt;20 W/m2)]],3,0),"")</f>
        <v>0.26319444444444445</v>
      </c>
      <c r="J1650" s="41">
        <f>IFERROR(VLOOKUP(TA[[#This Row],[Date]],Raw_Data[[Date]:[Sunset Time (POA&lt;20 W/m2)]],4,0),"")</f>
        <v>0.77083333333333337</v>
      </c>
      <c r="K1650" s="35">
        <f>IFERROR((TA[[#This Row],[Sunset Time (POA&lt;20 W/m2)]]-TA[[#This Row],[Sunrise Time (POA&gt;20 W/m2)]])*24,"")</f>
        <v>12.183333333333335</v>
      </c>
      <c r="L1650" s="2" t="s">
        <v>296</v>
      </c>
      <c r="M1650" s="42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323</v>
      </c>
      <c r="Q1650" s="2" t="s">
        <v>329</v>
      </c>
      <c r="R1650">
        <v>47</v>
      </c>
      <c r="S1650" s="2">
        <v>18</v>
      </c>
      <c r="T1650" t="s">
        <v>297</v>
      </c>
      <c r="U1650" t="s">
        <v>300</v>
      </c>
      <c r="V1650" t="s">
        <v>301</v>
      </c>
      <c r="W1650" s="41"/>
      <c r="X1650" s="41"/>
      <c r="Y1650" s="34"/>
      <c r="Z1650" s="34"/>
      <c r="AA1650" s="35">
        <f>IF(TA[[#This Row],[Work Start time on Fault]]="NA","",(TA[[#This Row],[Fault Acknowledgement Time ]]-TA[[#This Row],[Fault Time]])*24)</f>
        <v>0</v>
      </c>
      <c r="AB1650" s="35">
        <f>(TA[[#This Row],[Work Start time on Fault]]-TA[[#This Row],[Fault Time]])*24</f>
        <v>0</v>
      </c>
      <c r="AC1650" s="34">
        <f>(TA[[#This Row],[Work Completion time on fault]]-TA[[#This Row],[Fault Time]])*24</f>
        <v>0</v>
      </c>
      <c r="AD1650" s="35">
        <f>IFERROR((TA[[#This Row],[Work Completion time on fault]]-TA[[#This Row],[Fault Time]])*24,"")</f>
        <v>0</v>
      </c>
      <c r="AE1650" t="s">
        <v>328</v>
      </c>
      <c r="AF1650" t="s">
        <v>256</v>
      </c>
      <c r="AG1650" s="2"/>
      <c r="AH1650" s="44">
        <f>1-COS(RADIANS(TA[[#This Row],[Avg. Target Angle during Fault Time (Radians)]]-TA[[#This Row],[Angle of affected equipment ]]))</f>
        <v>0.11705240714107301</v>
      </c>
      <c r="AI1650" s="35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56">
        <f t="shared" si="207"/>
        <v>2026</v>
      </c>
      <c r="C1651" s="129">
        <f t="shared" si="208"/>
        <v>2025</v>
      </c>
      <c r="D1651" s="2" t="s">
        <v>155</v>
      </c>
      <c r="E1651" s="2" t="s">
        <v>155</v>
      </c>
      <c r="F1651" s="39">
        <v>45839</v>
      </c>
      <c r="G1651" s="2">
        <f>DAY(EOMONTH(TA[[#This Row],[Month Year]],0))</f>
        <v>31</v>
      </c>
      <c r="H1651" s="21">
        <v>45863</v>
      </c>
      <c r="I1651" s="41">
        <f>IFERROR(VLOOKUP(TA[[#This Row],[Date]],Raw_Data[[Date]:[Sunset Time (POA&lt;20 W/m2)]],3,0),"")</f>
        <v>0.26319444444444445</v>
      </c>
      <c r="J1651" s="41">
        <f>IFERROR(VLOOKUP(TA[[#This Row],[Date]],Raw_Data[[Date]:[Sunset Time (POA&lt;20 W/m2)]],4,0),"")</f>
        <v>0.77083333333333337</v>
      </c>
      <c r="K1651" s="35">
        <f>IFERROR((TA[[#This Row],[Sunset Time (POA&lt;20 W/m2)]]-TA[[#This Row],[Sunrise Time (POA&gt;20 W/m2)]])*24,"")</f>
        <v>12.183333333333335</v>
      </c>
      <c r="L1651" s="2" t="s">
        <v>296</v>
      </c>
      <c r="M1651" s="42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330</v>
      </c>
      <c r="Q1651" s="2" t="s">
        <v>323</v>
      </c>
      <c r="R1651">
        <v>30</v>
      </c>
      <c r="S1651" s="2">
        <v>57</v>
      </c>
      <c r="T1651" t="s">
        <v>297</v>
      </c>
      <c r="U1651" t="s">
        <v>300</v>
      </c>
      <c r="V1651" t="s">
        <v>301</v>
      </c>
      <c r="W1651" s="41"/>
      <c r="X1651" s="41"/>
      <c r="Y1651" s="34"/>
      <c r="Z1651" s="34"/>
      <c r="AA1651" s="35">
        <f>IF(TA[[#This Row],[Work Start time on Fault]]="NA","",(TA[[#This Row],[Fault Acknowledgement Time ]]-TA[[#This Row],[Fault Time]])*24)</f>
        <v>0</v>
      </c>
      <c r="AB1651" s="35">
        <f>(TA[[#This Row],[Work Start time on Fault]]-TA[[#This Row],[Fault Time]])*24</f>
        <v>0</v>
      </c>
      <c r="AC1651" s="34">
        <f>(TA[[#This Row],[Work Completion time on fault]]-TA[[#This Row],[Fault Time]])*24</f>
        <v>0</v>
      </c>
      <c r="AD1651" s="35">
        <f>IFERROR((TA[[#This Row],[Work Completion time on fault]]-TA[[#This Row],[Fault Time]])*24,"")</f>
        <v>0</v>
      </c>
      <c r="AE1651" t="s">
        <v>328</v>
      </c>
      <c r="AF1651" t="s">
        <v>256</v>
      </c>
      <c r="AG1651" s="2"/>
      <c r="AH1651" s="44">
        <f>1-COS(RADIANS(TA[[#This Row],[Avg. Target Angle during Fault Time (Radians)]]-TA[[#This Row],[Angle of affected equipment ]]))</f>
        <v>0.11705240714107301</v>
      </c>
      <c r="AI1651" s="35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56">
        <f t="shared" si="207"/>
        <v>2026</v>
      </c>
      <c r="C1652" s="129">
        <f t="shared" si="208"/>
        <v>2025</v>
      </c>
      <c r="D1652" s="2" t="s">
        <v>155</v>
      </c>
      <c r="E1652" s="2" t="s">
        <v>155</v>
      </c>
      <c r="F1652" s="39">
        <v>45839</v>
      </c>
      <c r="G1652" s="2">
        <f>DAY(EOMONTH(TA[[#This Row],[Month Year]],0))</f>
        <v>31</v>
      </c>
      <c r="H1652" s="21">
        <v>45863</v>
      </c>
      <c r="I1652" s="41">
        <f>IFERROR(VLOOKUP(TA[[#This Row],[Date]],Raw_Data[[Date]:[Sunset Time (POA&lt;20 W/m2)]],3,0),"")</f>
        <v>0.26319444444444445</v>
      </c>
      <c r="J1652" s="41">
        <f>IFERROR(VLOOKUP(TA[[#This Row],[Date]],Raw_Data[[Date]:[Sunset Time (POA&lt;20 W/m2)]],4,0),"")</f>
        <v>0.77083333333333337</v>
      </c>
      <c r="K1652" s="35">
        <f>IFERROR((TA[[#This Row],[Sunset Time (POA&lt;20 W/m2)]]-TA[[#This Row],[Sunrise Time (POA&gt;20 W/m2)]])*24,"")</f>
        <v>12.183333333333335</v>
      </c>
      <c r="L1652" s="2" t="s">
        <v>296</v>
      </c>
      <c r="M1652" s="42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330</v>
      </c>
      <c r="Q1652" s="2" t="s">
        <v>323</v>
      </c>
      <c r="R1652">
        <v>31</v>
      </c>
      <c r="S1652" s="2">
        <v>61</v>
      </c>
      <c r="T1652" t="s">
        <v>297</v>
      </c>
      <c r="U1652" t="s">
        <v>300</v>
      </c>
      <c r="V1652" t="s">
        <v>301</v>
      </c>
      <c r="W1652" s="41"/>
      <c r="X1652" s="41"/>
      <c r="Y1652" s="34"/>
      <c r="Z1652" s="34"/>
      <c r="AA1652" s="35">
        <f>IF(TA[[#This Row],[Work Start time on Fault]]="NA","",(TA[[#This Row],[Fault Acknowledgement Time ]]-TA[[#This Row],[Fault Time]])*24)</f>
        <v>0</v>
      </c>
      <c r="AB1652" s="35">
        <f>(TA[[#This Row],[Work Start time on Fault]]-TA[[#This Row],[Fault Time]])*24</f>
        <v>0</v>
      </c>
      <c r="AC1652" s="34">
        <f>(TA[[#This Row],[Work Completion time on fault]]-TA[[#This Row],[Fault Time]])*24</f>
        <v>0</v>
      </c>
      <c r="AD1652" s="35">
        <f>IFERROR((TA[[#This Row],[Work Completion time on fault]]-TA[[#This Row],[Fault Time]])*24,"")</f>
        <v>0</v>
      </c>
      <c r="AE1652" t="s">
        <v>328</v>
      </c>
      <c r="AF1652" t="s">
        <v>256</v>
      </c>
      <c r="AG1652" s="2"/>
      <c r="AH1652" s="44">
        <f>1-COS(RADIANS(TA[[#This Row],[Avg. Target Angle during Fault Time (Radians)]]-TA[[#This Row],[Angle of affected equipment ]]))</f>
        <v>0.11705240714107301</v>
      </c>
      <c r="AI1652" s="35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56">
        <f t="shared" si="207"/>
        <v>2026</v>
      </c>
      <c r="C1653" s="129">
        <f t="shared" si="208"/>
        <v>2025</v>
      </c>
      <c r="D1653" s="2" t="s">
        <v>155</v>
      </c>
      <c r="E1653" s="2" t="s">
        <v>155</v>
      </c>
      <c r="F1653" s="39">
        <v>45839</v>
      </c>
      <c r="G1653" s="2">
        <f>DAY(EOMONTH(TA[[#This Row],[Month Year]],0))</f>
        <v>31</v>
      </c>
      <c r="H1653" s="21">
        <v>45863</v>
      </c>
      <c r="I1653" s="41">
        <f>IFERROR(VLOOKUP(TA[[#This Row],[Date]],Raw_Data[[Date]:[Sunset Time (POA&lt;20 W/m2)]],3,0),"")</f>
        <v>0.26319444444444445</v>
      </c>
      <c r="J1653" s="41">
        <f>IFERROR(VLOOKUP(TA[[#This Row],[Date]],Raw_Data[[Date]:[Sunset Time (POA&lt;20 W/m2)]],4,0),"")</f>
        <v>0.77083333333333337</v>
      </c>
      <c r="K1653" s="35">
        <f>IFERROR((TA[[#This Row],[Sunset Time (POA&lt;20 W/m2)]]-TA[[#This Row],[Sunrise Time (POA&gt;20 W/m2)]])*24,"")</f>
        <v>12.183333333333335</v>
      </c>
      <c r="L1653" s="2" t="s">
        <v>312</v>
      </c>
      <c r="M1653" s="42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330</v>
      </c>
      <c r="Q1653" s="2" t="s">
        <v>323</v>
      </c>
      <c r="R1653">
        <v>26</v>
      </c>
      <c r="S1653" s="2">
        <v>37</v>
      </c>
      <c r="T1653" t="s">
        <v>297</v>
      </c>
      <c r="U1653" t="s">
        <v>300</v>
      </c>
      <c r="V1653" t="s">
        <v>301</v>
      </c>
      <c r="W1653" s="41"/>
      <c r="X1653" s="41"/>
      <c r="Y1653" s="34"/>
      <c r="Z1653" s="34"/>
      <c r="AA1653" s="35">
        <f>IF(TA[[#This Row],[Work Start time on Fault]]="NA","",(TA[[#This Row],[Fault Acknowledgement Time ]]-TA[[#This Row],[Fault Time]])*24)</f>
        <v>0</v>
      </c>
      <c r="AB1653" s="35">
        <f>(TA[[#This Row],[Work Start time on Fault]]-TA[[#This Row],[Fault Time]])*24</f>
        <v>0</v>
      </c>
      <c r="AC1653" s="34">
        <f>(TA[[#This Row],[Work Completion time on fault]]-TA[[#This Row],[Fault Time]])*24</f>
        <v>0</v>
      </c>
      <c r="AD1653" s="35">
        <f>IFERROR((TA[[#This Row],[Work Completion time on fault]]-TA[[#This Row],[Fault Time]])*24,"")</f>
        <v>0</v>
      </c>
      <c r="AE1653" t="s">
        <v>328</v>
      </c>
      <c r="AF1653" t="s">
        <v>256</v>
      </c>
      <c r="AG1653" s="2"/>
      <c r="AH1653" s="44">
        <f>1-COS(RADIANS(TA[[#This Row],[Avg. Target Angle during Fault Time (Radians)]]-TA[[#This Row],[Angle of affected equipment ]]))</f>
        <v>0.11705240714107301</v>
      </c>
      <c r="AI1653" s="35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56">
        <f t="shared" si="207"/>
        <v>2026</v>
      </c>
      <c r="C1654" s="129">
        <f t="shared" si="208"/>
        <v>2025</v>
      </c>
      <c r="D1654" s="2" t="s">
        <v>155</v>
      </c>
      <c r="E1654" s="2" t="s">
        <v>155</v>
      </c>
      <c r="F1654" s="39">
        <v>45839</v>
      </c>
      <c r="G1654" s="2">
        <f>DAY(EOMONTH(TA[[#This Row],[Month Year]],0))</f>
        <v>31</v>
      </c>
      <c r="H1654" s="21">
        <v>45863</v>
      </c>
      <c r="I1654" s="41">
        <f>IFERROR(VLOOKUP(TA[[#This Row],[Date]],Raw_Data[[Date]:[Sunset Time (POA&lt;20 W/m2)]],3,0),"")</f>
        <v>0.26319444444444445</v>
      </c>
      <c r="J1654" s="41">
        <f>IFERROR(VLOOKUP(TA[[#This Row],[Date]],Raw_Data[[Date]:[Sunset Time (POA&lt;20 W/m2)]],4,0),"")</f>
        <v>0.77083333333333337</v>
      </c>
      <c r="K1654" s="35">
        <f>IFERROR((TA[[#This Row],[Sunset Time (POA&lt;20 W/m2)]]-TA[[#This Row],[Sunrise Time (POA&gt;20 W/m2)]])*24,"")</f>
        <v>12.183333333333335</v>
      </c>
      <c r="L1654" s="2" t="s">
        <v>312</v>
      </c>
      <c r="M1654" s="42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330</v>
      </c>
      <c r="Q1654" s="2" t="s">
        <v>323</v>
      </c>
      <c r="R1654">
        <v>27</v>
      </c>
      <c r="S1654" s="2">
        <v>42</v>
      </c>
      <c r="T1654" t="s">
        <v>297</v>
      </c>
      <c r="U1654" t="s">
        <v>300</v>
      </c>
      <c r="V1654" t="s">
        <v>301</v>
      </c>
      <c r="W1654" s="41">
        <f>IFERROR(VLOOKUP(TA[[#This Row],[Date]],Raw_Data[[Date]:[Sunset Time (POA&lt;20 W/m2)]],3,0),"")</f>
        <v>0.26319444444444445</v>
      </c>
      <c r="X1654" s="41">
        <f>IFERROR(VLOOKUP(TA[[#This Row],[Date]],Raw_Data[[Date]:[Sunset Time (POA&lt;20 W/m2)]],3,0),"")</f>
        <v>0.26319444444444445</v>
      </c>
      <c r="Y1654" s="34"/>
      <c r="Z1654" s="34">
        <v>0.76041666666666663</v>
      </c>
      <c r="AA1654" s="35">
        <f>IF(TA[[#This Row],[Work Start time on Fault]]="NA","",(TA[[#This Row],[Fault Acknowledgement Time ]]-TA[[#This Row],[Fault Time]])*24)</f>
        <v>0</v>
      </c>
      <c r="AB1654" s="35">
        <f>(TA[[#This Row],[Work Start time on Fault]]-TA[[#This Row],[Fault Time]])*24</f>
        <v>-6.3166666666666664</v>
      </c>
      <c r="AC1654" s="34">
        <f>(TA[[#This Row],[Work Completion time on fault]]-TA[[#This Row],[Fault Time]])*24</f>
        <v>11.933333333333332</v>
      </c>
      <c r="AD1654" s="35">
        <f>IFERROR((TA[[#This Row],[Work Completion time on fault]]-TA[[#This Row],[Fault Time]])*24,"")</f>
        <v>11.933333333333332</v>
      </c>
      <c r="AE1654" t="s">
        <v>309</v>
      </c>
      <c r="AF1654" t="s">
        <v>256</v>
      </c>
      <c r="AG1654" s="2"/>
      <c r="AH1654" s="44">
        <f>1-COS(RADIANS(TA[[#This Row],[Avg. Target Angle during Fault Time (Radians)]]-TA[[#This Row],[Angle of affected equipment ]]))</f>
        <v>0.11705240714107301</v>
      </c>
      <c r="AI1654" s="35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56">
        <f t="shared" si="207"/>
        <v>2026</v>
      </c>
      <c r="C1655" s="129">
        <f t="shared" si="208"/>
        <v>2025</v>
      </c>
      <c r="D1655" s="2" t="s">
        <v>155</v>
      </c>
      <c r="E1655" s="2" t="s">
        <v>155</v>
      </c>
      <c r="F1655" s="39">
        <v>45839</v>
      </c>
      <c r="G1655" s="2">
        <f>DAY(EOMONTH(TA[[#This Row],[Month Year]],0))</f>
        <v>31</v>
      </c>
      <c r="H1655" s="21">
        <v>45864</v>
      </c>
      <c r="I1655" s="41">
        <f>IFERROR(VLOOKUP(TA[[#This Row],[Date]],Raw_Data[[Date]:[Sunset Time (POA&lt;20 W/m2)]],3,0),"")</f>
        <v>0.27430555555555558</v>
      </c>
      <c r="J1655" s="41">
        <f>IFERROR(VLOOKUP(TA[[#This Row],[Date]],Raw_Data[[Date]:[Sunset Time (POA&lt;20 W/m2)]],4,0),"")</f>
        <v>0.77361111111111114</v>
      </c>
      <c r="K1655" s="35">
        <f>IFERROR((TA[[#This Row],[Sunset Time (POA&lt;20 W/m2)]]-TA[[#This Row],[Sunrise Time (POA&gt;20 W/m2)]])*24,"")</f>
        <v>11.983333333333334</v>
      </c>
      <c r="L1655" s="2" t="s">
        <v>294</v>
      </c>
      <c r="M1655" s="42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27" t="s">
        <v>318</v>
      </c>
      <c r="Q1655" s="126" t="s">
        <v>318</v>
      </c>
      <c r="R1655">
        <v>131</v>
      </c>
      <c r="S1655" s="2">
        <v>38</v>
      </c>
      <c r="T1655" t="s">
        <v>295</v>
      </c>
      <c r="U1655" t="s">
        <v>300</v>
      </c>
      <c r="V1655" t="s">
        <v>298</v>
      </c>
      <c r="W1655" s="41"/>
      <c r="X1655" s="41"/>
      <c r="Y1655" s="34"/>
      <c r="Z1655" s="34"/>
      <c r="AA1655" s="35">
        <f>IF(TA[[#This Row],[Work Start time on Fault]]="NA","",(TA[[#This Row],[Fault Acknowledgement Time ]]-TA[[#This Row],[Fault Time]])*24)</f>
        <v>0</v>
      </c>
      <c r="AB1655" s="35">
        <f>(TA[[#This Row],[Work Start time on Fault]]-TA[[#This Row],[Fault Time]])*24</f>
        <v>0</v>
      </c>
      <c r="AC1655" s="34">
        <f>(TA[[#This Row],[Work Completion time on fault]]-TA[[#This Row],[Fault Time]])*24</f>
        <v>0</v>
      </c>
      <c r="AD1655" s="35">
        <f>IFERROR((TA[[#This Row],[Work Completion time on fault]]-TA[[#This Row],[Fault Time]])*24,"")</f>
        <v>0</v>
      </c>
      <c r="AE1655" t="s">
        <v>328</v>
      </c>
      <c r="AF1655" t="s">
        <v>256</v>
      </c>
      <c r="AG1655" s="2"/>
      <c r="AH1655" s="44">
        <f>1-COS(RADIANS(TA[[#This Row],[Avg. Target Angle during Fault Time (Radians)]]-TA[[#This Row],[Angle of affected equipment ]]))</f>
        <v>0.11705240714107301</v>
      </c>
      <c r="AI1655" s="35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56">
        <f t="shared" si="207"/>
        <v>2026</v>
      </c>
      <c r="C1656" s="129">
        <f t="shared" si="208"/>
        <v>2025</v>
      </c>
      <c r="D1656" s="2" t="s">
        <v>155</v>
      </c>
      <c r="E1656" s="2" t="s">
        <v>155</v>
      </c>
      <c r="F1656" s="39">
        <v>45839</v>
      </c>
      <c r="G1656" s="2">
        <f>DAY(EOMONTH(TA[[#This Row],[Month Year]],0))</f>
        <v>31</v>
      </c>
      <c r="H1656" s="21">
        <v>45864</v>
      </c>
      <c r="I1656" s="41">
        <f>IFERROR(VLOOKUP(TA[[#This Row],[Date]],Raw_Data[[Date]:[Sunset Time (POA&lt;20 W/m2)]],3,0),"")</f>
        <v>0.27430555555555558</v>
      </c>
      <c r="J1656" s="41">
        <f>IFERROR(VLOOKUP(TA[[#This Row],[Date]],Raw_Data[[Date]:[Sunset Time (POA&lt;20 W/m2)]],4,0),"")</f>
        <v>0.77361111111111114</v>
      </c>
      <c r="K1656" s="35">
        <f>IFERROR((TA[[#This Row],[Sunset Time (POA&lt;20 W/m2)]]-TA[[#This Row],[Sunrise Time (POA&gt;20 W/m2)]])*24,"")</f>
        <v>11.983333333333334</v>
      </c>
      <c r="L1656" s="2" t="s">
        <v>294</v>
      </c>
      <c r="M1656" s="42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27" t="s">
        <v>318</v>
      </c>
      <c r="Q1656" s="126" t="s">
        <v>318</v>
      </c>
      <c r="R1656">
        <v>131</v>
      </c>
      <c r="S1656" s="2">
        <v>39</v>
      </c>
      <c r="T1656" t="s">
        <v>295</v>
      </c>
      <c r="U1656" t="s">
        <v>300</v>
      </c>
      <c r="V1656" t="s">
        <v>298</v>
      </c>
      <c r="W1656" s="41"/>
      <c r="X1656" s="41"/>
      <c r="Y1656" s="34"/>
      <c r="Z1656" s="34"/>
      <c r="AA1656" s="35">
        <f>IF(TA[[#This Row],[Work Start time on Fault]]="NA","",(TA[[#This Row],[Fault Acknowledgement Time ]]-TA[[#This Row],[Fault Time]])*24)</f>
        <v>0</v>
      </c>
      <c r="AB1656" s="35">
        <f>(TA[[#This Row],[Work Start time on Fault]]-TA[[#This Row],[Fault Time]])*24</f>
        <v>0</v>
      </c>
      <c r="AC1656" s="34">
        <f>(TA[[#This Row],[Work Completion time on fault]]-TA[[#This Row],[Fault Time]])*24</f>
        <v>0</v>
      </c>
      <c r="AD1656" s="35">
        <f>IFERROR((TA[[#This Row],[Work Completion time on fault]]-TA[[#This Row],[Fault Time]])*24,"")</f>
        <v>0</v>
      </c>
      <c r="AE1656" t="s">
        <v>328</v>
      </c>
      <c r="AF1656" t="s">
        <v>256</v>
      </c>
      <c r="AG1656" s="2"/>
      <c r="AH1656" s="44">
        <f>1-COS(RADIANS(TA[[#This Row],[Avg. Target Angle during Fault Time (Radians)]]-TA[[#This Row],[Angle of affected equipment ]]))</f>
        <v>0.11705240714107301</v>
      </c>
      <c r="AI1656" s="35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56">
        <f t="shared" si="207"/>
        <v>2026</v>
      </c>
      <c r="C1657" s="129">
        <f t="shared" si="208"/>
        <v>2025</v>
      </c>
      <c r="D1657" s="2" t="s">
        <v>155</v>
      </c>
      <c r="E1657" s="2" t="s">
        <v>155</v>
      </c>
      <c r="F1657" s="39">
        <v>45839</v>
      </c>
      <c r="G1657" s="2">
        <f>DAY(EOMONTH(TA[[#This Row],[Month Year]],0))</f>
        <v>31</v>
      </c>
      <c r="H1657" s="21">
        <v>45864</v>
      </c>
      <c r="I1657" s="41">
        <f>IFERROR(VLOOKUP(TA[[#This Row],[Date]],Raw_Data[[Date]:[Sunset Time (POA&lt;20 W/m2)]],3,0),"")</f>
        <v>0.27430555555555558</v>
      </c>
      <c r="J1657" s="41">
        <f>IFERROR(VLOOKUP(TA[[#This Row],[Date]],Raw_Data[[Date]:[Sunset Time (POA&lt;20 W/m2)]],4,0),"")</f>
        <v>0.77361111111111114</v>
      </c>
      <c r="K1657" s="35">
        <f>IFERROR((TA[[#This Row],[Sunset Time (POA&lt;20 W/m2)]]-TA[[#This Row],[Sunrise Time (POA&gt;20 W/m2)]])*24,"")</f>
        <v>11.983333333333334</v>
      </c>
      <c r="L1657" s="2" t="s">
        <v>296</v>
      </c>
      <c r="M1657" s="42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27" t="s">
        <v>318</v>
      </c>
      <c r="Q1657" s="2" t="s">
        <v>321</v>
      </c>
      <c r="R1657">
        <v>133</v>
      </c>
      <c r="S1657" s="2">
        <v>26</v>
      </c>
      <c r="T1657" t="s">
        <v>297</v>
      </c>
      <c r="U1657" t="s">
        <v>300</v>
      </c>
      <c r="V1657" t="s">
        <v>314</v>
      </c>
      <c r="W1657" s="41">
        <f>IFERROR(VLOOKUP(TA[[#This Row],[Date]],Raw_Data[[Date]:[Sunset Time (POA&lt;20 W/m2)]],3,0),"")</f>
        <v>0.27430555555555558</v>
      </c>
      <c r="X1657" s="41">
        <f>IFERROR(VLOOKUP(TA[[#This Row],[Date]],Raw_Data[[Date]:[Sunset Time (POA&lt;20 W/m2)]],3,0),"")</f>
        <v>0.27430555555555558</v>
      </c>
      <c r="Y1657" s="34"/>
      <c r="Z1657" s="34">
        <v>0.76041666666666663</v>
      </c>
      <c r="AA1657" s="35">
        <f>IF(TA[[#This Row],[Work Start time on Fault]]="NA","",(TA[[#This Row],[Fault Acknowledgement Time ]]-TA[[#This Row],[Fault Time]])*24)</f>
        <v>0</v>
      </c>
      <c r="AB1657" s="35">
        <f>(TA[[#This Row],[Work Start time on Fault]]-TA[[#This Row],[Fault Time]])*24</f>
        <v>-6.5833333333333339</v>
      </c>
      <c r="AC1657" s="34">
        <f>(TA[[#This Row],[Work Completion time on fault]]-TA[[#This Row],[Fault Time]])*24</f>
        <v>11.666666666666664</v>
      </c>
      <c r="AD1657" s="35">
        <f>IFERROR((TA[[#This Row],[Work Completion time on fault]]-TA[[#This Row],[Fault Time]])*24,"")</f>
        <v>11.666666666666664</v>
      </c>
      <c r="AE1657" t="s">
        <v>328</v>
      </c>
      <c r="AF1657" t="s">
        <v>256</v>
      </c>
      <c r="AG1657" s="2"/>
      <c r="AH1657" s="44">
        <f>1-COS(RADIANS(TA[[#This Row],[Avg. Target Angle during Fault Time (Radians)]]-TA[[#This Row],[Angle of affected equipment ]]))</f>
        <v>0.11705240714107301</v>
      </c>
      <c r="AI1657" s="35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56">
        <f t="shared" si="207"/>
        <v>2026</v>
      </c>
      <c r="C1658" s="129">
        <f t="shared" si="208"/>
        <v>2025</v>
      </c>
      <c r="D1658" s="2" t="s">
        <v>155</v>
      </c>
      <c r="E1658" s="2" t="s">
        <v>155</v>
      </c>
      <c r="F1658" s="39">
        <v>45839</v>
      </c>
      <c r="G1658" s="2">
        <f>DAY(EOMONTH(TA[[#This Row],[Month Year]],0))</f>
        <v>31</v>
      </c>
      <c r="H1658" s="21">
        <v>45864</v>
      </c>
      <c r="I1658" s="41">
        <f>IFERROR(VLOOKUP(TA[[#This Row],[Date]],Raw_Data[[Date]:[Sunset Time (POA&lt;20 W/m2)]],3,0),"")</f>
        <v>0.27430555555555558</v>
      </c>
      <c r="J1658" s="41">
        <f>IFERROR(VLOOKUP(TA[[#This Row],[Date]],Raw_Data[[Date]:[Sunset Time (POA&lt;20 W/m2)]],4,0),"")</f>
        <v>0.77361111111111114</v>
      </c>
      <c r="K1658" s="35">
        <f>IFERROR((TA[[#This Row],[Sunset Time (POA&lt;20 W/m2)]]-TA[[#This Row],[Sunrise Time (POA&gt;20 W/m2)]])*24,"")</f>
        <v>11.983333333333334</v>
      </c>
      <c r="L1658" s="2" t="s">
        <v>294</v>
      </c>
      <c r="M1658" s="42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27" t="s">
        <v>316</v>
      </c>
      <c r="Q1658" s="126" t="s">
        <v>317</v>
      </c>
      <c r="R1658">
        <v>7</v>
      </c>
      <c r="S1658" s="2">
        <v>32</v>
      </c>
      <c r="T1658" t="s">
        <v>295</v>
      </c>
      <c r="U1658" t="s">
        <v>300</v>
      </c>
      <c r="V1658" t="s">
        <v>298</v>
      </c>
      <c r="W1658" s="41"/>
      <c r="X1658" s="41"/>
      <c r="Y1658" s="34"/>
      <c r="Z1658" s="34"/>
      <c r="AA1658" s="35">
        <f>IF(TA[[#This Row],[Work Start time on Fault]]="NA","",(TA[[#This Row],[Fault Acknowledgement Time ]]-TA[[#This Row],[Fault Time]])*24)</f>
        <v>0</v>
      </c>
      <c r="AB1658" s="35">
        <f>(TA[[#This Row],[Work Start time on Fault]]-TA[[#This Row],[Fault Time]])*24</f>
        <v>0</v>
      </c>
      <c r="AC1658" s="34">
        <f>(TA[[#This Row],[Work Completion time on fault]]-TA[[#This Row],[Fault Time]])*24</f>
        <v>0</v>
      </c>
      <c r="AD1658" s="35">
        <f>IFERROR((TA[[#This Row],[Work Completion time on fault]]-TA[[#This Row],[Fault Time]])*24,"")</f>
        <v>0</v>
      </c>
      <c r="AE1658" t="s">
        <v>328</v>
      </c>
      <c r="AF1658" t="s">
        <v>256</v>
      </c>
      <c r="AG1658" s="2"/>
      <c r="AH1658" s="44">
        <f>1-COS(RADIANS(TA[[#This Row],[Avg. Target Angle during Fault Time (Radians)]]-TA[[#This Row],[Angle of affected equipment ]]))</f>
        <v>0.11705240714107301</v>
      </c>
      <c r="AI1658" s="35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56">
        <f t="shared" si="207"/>
        <v>2026</v>
      </c>
      <c r="C1659" s="129">
        <f t="shared" si="208"/>
        <v>2025</v>
      </c>
      <c r="D1659" s="2" t="s">
        <v>155</v>
      </c>
      <c r="E1659" s="2" t="s">
        <v>155</v>
      </c>
      <c r="F1659" s="39">
        <v>45839</v>
      </c>
      <c r="G1659" s="2">
        <f>DAY(EOMONTH(TA[[#This Row],[Month Year]],0))</f>
        <v>31</v>
      </c>
      <c r="H1659" s="21">
        <v>45864</v>
      </c>
      <c r="I1659" s="41">
        <f>IFERROR(VLOOKUP(TA[[#This Row],[Date]],Raw_Data[[Date]:[Sunset Time (POA&lt;20 W/m2)]],3,0),"")</f>
        <v>0.27430555555555558</v>
      </c>
      <c r="J1659" s="41">
        <f>IFERROR(VLOOKUP(TA[[#This Row],[Date]],Raw_Data[[Date]:[Sunset Time (POA&lt;20 W/m2)]],4,0),"")</f>
        <v>0.77361111111111114</v>
      </c>
      <c r="K1659" s="35">
        <f>IFERROR((TA[[#This Row],[Sunset Time (POA&lt;20 W/m2)]]-TA[[#This Row],[Sunrise Time (POA&gt;20 W/m2)]])*24,"")</f>
        <v>11.983333333333334</v>
      </c>
      <c r="L1659" s="2" t="s">
        <v>294</v>
      </c>
      <c r="M1659" s="42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27" t="s">
        <v>315</v>
      </c>
      <c r="Q1659" s="126" t="s">
        <v>319</v>
      </c>
      <c r="R1659">
        <v>166</v>
      </c>
      <c r="S1659" s="2">
        <v>91</v>
      </c>
      <c r="T1659" t="s">
        <v>295</v>
      </c>
      <c r="U1659" t="s">
        <v>300</v>
      </c>
      <c r="V1659" t="s">
        <v>298</v>
      </c>
      <c r="W1659" s="41"/>
      <c r="X1659" s="41"/>
      <c r="Y1659" s="34"/>
      <c r="Z1659" s="34"/>
      <c r="AA1659" s="35">
        <f>IF(TA[[#This Row],[Work Start time on Fault]]="NA","",(TA[[#This Row],[Fault Acknowledgement Time ]]-TA[[#This Row],[Fault Time]])*24)</f>
        <v>0</v>
      </c>
      <c r="AB1659" s="35">
        <f>(TA[[#This Row],[Work Start time on Fault]]-TA[[#This Row],[Fault Time]])*24</f>
        <v>0</v>
      </c>
      <c r="AC1659" s="34">
        <f>(TA[[#This Row],[Work Completion time on fault]]-TA[[#This Row],[Fault Time]])*24</f>
        <v>0</v>
      </c>
      <c r="AD1659" s="35">
        <f>IFERROR((TA[[#This Row],[Work Completion time on fault]]-TA[[#This Row],[Fault Time]])*24,"")</f>
        <v>0</v>
      </c>
      <c r="AE1659" t="s">
        <v>328</v>
      </c>
      <c r="AF1659" t="s">
        <v>256</v>
      </c>
      <c r="AG1659" s="2"/>
      <c r="AH1659" s="44">
        <f>1-COS(RADIANS(TA[[#This Row],[Avg. Target Angle during Fault Time (Radians)]]-TA[[#This Row],[Angle of affected equipment ]]))</f>
        <v>0.11705240714107301</v>
      </c>
      <c r="AI1659" s="35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56">
        <f t="shared" si="207"/>
        <v>2026</v>
      </c>
      <c r="C1660" s="129">
        <f t="shared" si="208"/>
        <v>2025</v>
      </c>
      <c r="D1660" s="2" t="s">
        <v>155</v>
      </c>
      <c r="E1660" s="2" t="s">
        <v>155</v>
      </c>
      <c r="F1660" s="39">
        <v>45839</v>
      </c>
      <c r="G1660" s="2">
        <f>DAY(EOMONTH(TA[[#This Row],[Month Year]],0))</f>
        <v>31</v>
      </c>
      <c r="H1660" s="21">
        <v>45864</v>
      </c>
      <c r="I1660" s="41">
        <f>IFERROR(VLOOKUP(TA[[#This Row],[Date]],Raw_Data[[Date]:[Sunset Time (POA&lt;20 W/m2)]],3,0),"")</f>
        <v>0.27430555555555558</v>
      </c>
      <c r="J1660" s="41">
        <f>IFERROR(VLOOKUP(TA[[#This Row],[Date]],Raw_Data[[Date]:[Sunset Time (POA&lt;20 W/m2)]],4,0),"")</f>
        <v>0.77361111111111114</v>
      </c>
      <c r="K1660" s="35">
        <f>IFERROR((TA[[#This Row],[Sunset Time (POA&lt;20 W/m2)]]-TA[[#This Row],[Sunrise Time (POA&gt;20 W/m2)]])*24,"")</f>
        <v>11.983333333333334</v>
      </c>
      <c r="L1660" s="2" t="s">
        <v>294</v>
      </c>
      <c r="M1660" s="42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27" t="s">
        <v>316</v>
      </c>
      <c r="Q1660" s="126" t="s">
        <v>316</v>
      </c>
      <c r="R1660">
        <v>117</v>
      </c>
      <c r="S1660" s="2">
        <v>20</v>
      </c>
      <c r="T1660" t="s">
        <v>295</v>
      </c>
      <c r="U1660" t="s">
        <v>300</v>
      </c>
      <c r="V1660" t="s">
        <v>298</v>
      </c>
      <c r="W1660" s="41"/>
      <c r="X1660" s="41"/>
      <c r="Y1660" s="34"/>
      <c r="Z1660" s="34"/>
      <c r="AA1660" s="35">
        <f>IF(TA[[#This Row],[Work Start time on Fault]]="NA","",(TA[[#This Row],[Fault Acknowledgement Time ]]-TA[[#This Row],[Fault Time]])*24)</f>
        <v>0</v>
      </c>
      <c r="AB1660" s="35">
        <f>(TA[[#This Row],[Work Start time on Fault]]-TA[[#This Row],[Fault Time]])*24</f>
        <v>0</v>
      </c>
      <c r="AC1660" s="34">
        <f>(TA[[#This Row],[Work Completion time on fault]]-TA[[#This Row],[Fault Time]])*24</f>
        <v>0</v>
      </c>
      <c r="AD1660" s="35">
        <f>IFERROR((TA[[#This Row],[Work Completion time on fault]]-TA[[#This Row],[Fault Time]])*24,"")</f>
        <v>0</v>
      </c>
      <c r="AE1660" t="s">
        <v>328</v>
      </c>
      <c r="AF1660" t="s">
        <v>256</v>
      </c>
      <c r="AG1660" s="2"/>
      <c r="AH1660" s="44">
        <f>1-COS(RADIANS(TA[[#This Row],[Avg. Target Angle during Fault Time (Radians)]]-TA[[#This Row],[Angle of affected equipment ]]))</f>
        <v>0.11705240714107301</v>
      </c>
      <c r="AI1660" s="35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56">
        <f t="shared" si="207"/>
        <v>2026</v>
      </c>
      <c r="C1661" s="129">
        <f t="shared" si="208"/>
        <v>2025</v>
      </c>
      <c r="D1661" s="2" t="s">
        <v>155</v>
      </c>
      <c r="E1661" s="2" t="s">
        <v>155</v>
      </c>
      <c r="F1661" s="39">
        <v>45839</v>
      </c>
      <c r="G1661" s="2">
        <f>DAY(EOMONTH(TA[[#This Row],[Month Year]],0))</f>
        <v>31</v>
      </c>
      <c r="H1661" s="21">
        <v>45864</v>
      </c>
      <c r="I1661" s="41">
        <f>IFERROR(VLOOKUP(TA[[#This Row],[Date]],Raw_Data[[Date]:[Sunset Time (POA&lt;20 W/m2)]],3,0),"")</f>
        <v>0.27430555555555558</v>
      </c>
      <c r="J1661" s="41">
        <f>IFERROR(VLOOKUP(TA[[#This Row],[Date]],Raw_Data[[Date]:[Sunset Time (POA&lt;20 W/m2)]],4,0),"")</f>
        <v>0.77361111111111114</v>
      </c>
      <c r="K1661" s="35">
        <f>IFERROR((TA[[#This Row],[Sunset Time (POA&lt;20 W/m2)]]-TA[[#This Row],[Sunrise Time (POA&gt;20 W/m2)]])*24,"")</f>
        <v>11.983333333333334</v>
      </c>
      <c r="L1661" s="2" t="s">
        <v>294</v>
      </c>
      <c r="M1661" s="42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27" t="s">
        <v>316</v>
      </c>
      <c r="Q1661" s="126" t="s">
        <v>316</v>
      </c>
      <c r="R1661">
        <v>118</v>
      </c>
      <c r="S1661" s="2">
        <v>22</v>
      </c>
      <c r="T1661" t="s">
        <v>295</v>
      </c>
      <c r="U1661" t="s">
        <v>300</v>
      </c>
      <c r="V1661" t="s">
        <v>298</v>
      </c>
      <c r="W1661" s="41"/>
      <c r="X1661" s="41"/>
      <c r="Y1661" s="34"/>
      <c r="Z1661" s="34"/>
      <c r="AA1661" s="35">
        <f>IF(TA[[#This Row],[Work Start time on Fault]]="NA","",(TA[[#This Row],[Fault Acknowledgement Time ]]-TA[[#This Row],[Fault Time]])*24)</f>
        <v>0</v>
      </c>
      <c r="AB1661" s="35">
        <f>(TA[[#This Row],[Work Start time on Fault]]-TA[[#This Row],[Fault Time]])*24</f>
        <v>0</v>
      </c>
      <c r="AC1661" s="34">
        <f>(TA[[#This Row],[Work Completion time on fault]]-TA[[#This Row],[Fault Time]])*24</f>
        <v>0</v>
      </c>
      <c r="AD1661" s="35">
        <f>IFERROR((TA[[#This Row],[Work Completion time on fault]]-TA[[#This Row],[Fault Time]])*24,"")</f>
        <v>0</v>
      </c>
      <c r="AE1661" t="s">
        <v>328</v>
      </c>
      <c r="AF1661" t="s">
        <v>256</v>
      </c>
      <c r="AG1661" s="2"/>
      <c r="AH1661" s="44">
        <f>1-COS(RADIANS(TA[[#This Row],[Avg. Target Angle during Fault Time (Radians)]]-TA[[#This Row],[Angle of affected equipment ]]))</f>
        <v>0.11705240714107301</v>
      </c>
      <c r="AI1661" s="35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56">
        <f t="shared" si="207"/>
        <v>2026</v>
      </c>
      <c r="C1662" s="129">
        <f t="shared" si="208"/>
        <v>2025</v>
      </c>
      <c r="D1662" s="2" t="s">
        <v>155</v>
      </c>
      <c r="E1662" s="2" t="s">
        <v>155</v>
      </c>
      <c r="F1662" s="39">
        <v>45839</v>
      </c>
      <c r="G1662" s="2">
        <f>DAY(EOMONTH(TA[[#This Row],[Month Year]],0))</f>
        <v>31</v>
      </c>
      <c r="H1662" s="21">
        <v>45864</v>
      </c>
      <c r="I1662" s="41">
        <f>IFERROR(VLOOKUP(TA[[#This Row],[Date]],Raw_Data[[Date]:[Sunset Time (POA&lt;20 W/m2)]],3,0),"")</f>
        <v>0.27430555555555558</v>
      </c>
      <c r="J1662" s="41">
        <f>IFERROR(VLOOKUP(TA[[#This Row],[Date]],Raw_Data[[Date]:[Sunset Time (POA&lt;20 W/m2)]],4,0),"")</f>
        <v>0.77361111111111114</v>
      </c>
      <c r="K1662" s="35">
        <f>IFERROR((TA[[#This Row],[Sunset Time (POA&lt;20 W/m2)]]-TA[[#This Row],[Sunrise Time (POA&gt;20 W/m2)]])*24,"")</f>
        <v>11.983333333333334</v>
      </c>
      <c r="L1662" s="2" t="s">
        <v>296</v>
      </c>
      <c r="M1662" s="42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323</v>
      </c>
      <c r="Q1662" s="2" t="s">
        <v>329</v>
      </c>
      <c r="R1662">
        <v>45</v>
      </c>
      <c r="S1662" s="2">
        <v>8</v>
      </c>
      <c r="T1662" t="s">
        <v>297</v>
      </c>
      <c r="U1662" t="s">
        <v>300</v>
      </c>
      <c r="V1662" t="s">
        <v>301</v>
      </c>
      <c r="W1662" s="41"/>
      <c r="X1662" s="41"/>
      <c r="Y1662" s="34"/>
      <c r="Z1662" s="34"/>
      <c r="AA1662" s="35">
        <f>IF(TA[[#This Row],[Work Start time on Fault]]="NA","",(TA[[#This Row],[Fault Acknowledgement Time ]]-TA[[#This Row],[Fault Time]])*24)</f>
        <v>0</v>
      </c>
      <c r="AB1662" s="35">
        <f>(TA[[#This Row],[Work Start time on Fault]]-TA[[#This Row],[Fault Time]])*24</f>
        <v>0</v>
      </c>
      <c r="AC1662" s="34">
        <f>(TA[[#This Row],[Work Completion time on fault]]-TA[[#This Row],[Fault Time]])*24</f>
        <v>0</v>
      </c>
      <c r="AD1662" s="35">
        <f>IFERROR((TA[[#This Row],[Work Completion time on fault]]-TA[[#This Row],[Fault Time]])*24,"")</f>
        <v>0</v>
      </c>
      <c r="AE1662" t="s">
        <v>328</v>
      </c>
      <c r="AF1662" t="s">
        <v>256</v>
      </c>
      <c r="AG1662" s="2"/>
      <c r="AH1662" s="44">
        <f>1-COS(RADIANS(TA[[#This Row],[Avg. Target Angle during Fault Time (Radians)]]-TA[[#This Row],[Angle of affected equipment ]]))</f>
        <v>0.11705240714107301</v>
      </c>
      <c r="AI1662" s="35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56">
        <f t="shared" si="207"/>
        <v>2026</v>
      </c>
      <c r="C1663" s="129">
        <f t="shared" si="208"/>
        <v>2025</v>
      </c>
      <c r="D1663" s="2" t="s">
        <v>155</v>
      </c>
      <c r="E1663" s="2" t="s">
        <v>155</v>
      </c>
      <c r="F1663" s="39">
        <v>45839</v>
      </c>
      <c r="G1663" s="2">
        <f>DAY(EOMONTH(TA[[#This Row],[Month Year]],0))</f>
        <v>31</v>
      </c>
      <c r="H1663" s="21">
        <v>45864</v>
      </c>
      <c r="I1663" s="41">
        <f>IFERROR(VLOOKUP(TA[[#This Row],[Date]],Raw_Data[[Date]:[Sunset Time (POA&lt;20 W/m2)]],3,0),"")</f>
        <v>0.27430555555555558</v>
      </c>
      <c r="J1663" s="41">
        <f>IFERROR(VLOOKUP(TA[[#This Row],[Date]],Raw_Data[[Date]:[Sunset Time (POA&lt;20 W/m2)]],4,0),"")</f>
        <v>0.77361111111111114</v>
      </c>
      <c r="K1663" s="35">
        <f>IFERROR((TA[[#This Row],[Sunset Time (POA&lt;20 W/m2)]]-TA[[#This Row],[Sunrise Time (POA&gt;20 W/m2)]])*24,"")</f>
        <v>11.983333333333334</v>
      </c>
      <c r="L1663" s="2" t="s">
        <v>296</v>
      </c>
      <c r="M1663" s="42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323</v>
      </c>
      <c r="Q1663" s="2" t="s">
        <v>329</v>
      </c>
      <c r="R1663">
        <v>47</v>
      </c>
      <c r="S1663" s="2">
        <v>18</v>
      </c>
      <c r="T1663" t="s">
        <v>297</v>
      </c>
      <c r="U1663" t="s">
        <v>300</v>
      </c>
      <c r="V1663" t="s">
        <v>301</v>
      </c>
      <c r="W1663" s="41"/>
      <c r="X1663" s="41"/>
      <c r="Y1663" s="34"/>
      <c r="Z1663" s="34"/>
      <c r="AA1663" s="35">
        <f>IF(TA[[#This Row],[Work Start time on Fault]]="NA","",(TA[[#This Row],[Fault Acknowledgement Time ]]-TA[[#This Row],[Fault Time]])*24)</f>
        <v>0</v>
      </c>
      <c r="AB1663" s="35">
        <f>(TA[[#This Row],[Work Start time on Fault]]-TA[[#This Row],[Fault Time]])*24</f>
        <v>0</v>
      </c>
      <c r="AC1663" s="34">
        <f>(TA[[#This Row],[Work Completion time on fault]]-TA[[#This Row],[Fault Time]])*24</f>
        <v>0</v>
      </c>
      <c r="AD1663" s="35">
        <f>IFERROR((TA[[#This Row],[Work Completion time on fault]]-TA[[#This Row],[Fault Time]])*24,"")</f>
        <v>0</v>
      </c>
      <c r="AE1663" t="s">
        <v>328</v>
      </c>
      <c r="AF1663" t="s">
        <v>256</v>
      </c>
      <c r="AG1663" s="2"/>
      <c r="AH1663" s="44">
        <f>1-COS(RADIANS(TA[[#This Row],[Avg. Target Angle during Fault Time (Radians)]]-TA[[#This Row],[Angle of affected equipment ]]))</f>
        <v>0.11705240714107301</v>
      </c>
      <c r="AI1663" s="35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56">
        <f t="shared" si="207"/>
        <v>2026</v>
      </c>
      <c r="C1664" s="129">
        <f t="shared" si="208"/>
        <v>2025</v>
      </c>
      <c r="D1664" s="2" t="s">
        <v>155</v>
      </c>
      <c r="E1664" s="2" t="s">
        <v>155</v>
      </c>
      <c r="F1664" s="39">
        <v>45839</v>
      </c>
      <c r="G1664" s="2">
        <f>DAY(EOMONTH(TA[[#This Row],[Month Year]],0))</f>
        <v>31</v>
      </c>
      <c r="H1664" s="21">
        <v>45864</v>
      </c>
      <c r="I1664" s="41">
        <f>IFERROR(VLOOKUP(TA[[#This Row],[Date]],Raw_Data[[Date]:[Sunset Time (POA&lt;20 W/m2)]],3,0),"")</f>
        <v>0.27430555555555558</v>
      </c>
      <c r="J1664" s="41">
        <f>IFERROR(VLOOKUP(TA[[#This Row],[Date]],Raw_Data[[Date]:[Sunset Time (POA&lt;20 W/m2)]],4,0),"")</f>
        <v>0.77361111111111114</v>
      </c>
      <c r="K1664" s="35">
        <f>IFERROR((TA[[#This Row],[Sunset Time (POA&lt;20 W/m2)]]-TA[[#This Row],[Sunrise Time (POA&gt;20 W/m2)]])*24,"")</f>
        <v>11.983333333333334</v>
      </c>
      <c r="L1664" s="2" t="s">
        <v>296</v>
      </c>
      <c r="M1664" s="42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330</v>
      </c>
      <c r="Q1664" s="2" t="s">
        <v>323</v>
      </c>
      <c r="R1664">
        <v>30</v>
      </c>
      <c r="S1664" s="2">
        <v>57</v>
      </c>
      <c r="T1664" t="s">
        <v>297</v>
      </c>
      <c r="U1664" t="s">
        <v>300</v>
      </c>
      <c r="V1664" t="s">
        <v>301</v>
      </c>
      <c r="W1664" s="41"/>
      <c r="X1664" s="41"/>
      <c r="Y1664" s="34"/>
      <c r="Z1664" s="34"/>
      <c r="AA1664" s="35">
        <f>IF(TA[[#This Row],[Work Start time on Fault]]="NA","",(TA[[#This Row],[Fault Acknowledgement Time ]]-TA[[#This Row],[Fault Time]])*24)</f>
        <v>0</v>
      </c>
      <c r="AB1664" s="35">
        <f>(TA[[#This Row],[Work Start time on Fault]]-TA[[#This Row],[Fault Time]])*24</f>
        <v>0</v>
      </c>
      <c r="AC1664" s="34">
        <f>(TA[[#This Row],[Work Completion time on fault]]-TA[[#This Row],[Fault Time]])*24</f>
        <v>0</v>
      </c>
      <c r="AD1664" s="35">
        <f>IFERROR((TA[[#This Row],[Work Completion time on fault]]-TA[[#This Row],[Fault Time]])*24,"")</f>
        <v>0</v>
      </c>
      <c r="AE1664" t="s">
        <v>328</v>
      </c>
      <c r="AF1664" t="s">
        <v>256</v>
      </c>
      <c r="AG1664" s="2"/>
      <c r="AH1664" s="44">
        <f>1-COS(RADIANS(TA[[#This Row],[Avg. Target Angle during Fault Time (Radians)]]-TA[[#This Row],[Angle of affected equipment ]]))</f>
        <v>0.11705240714107301</v>
      </c>
      <c r="AI1664" s="35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56">
        <f t="shared" si="207"/>
        <v>2026</v>
      </c>
      <c r="C1665" s="129">
        <f t="shared" si="208"/>
        <v>2025</v>
      </c>
      <c r="D1665" s="2" t="s">
        <v>155</v>
      </c>
      <c r="E1665" s="2" t="s">
        <v>155</v>
      </c>
      <c r="F1665" s="39">
        <v>45839</v>
      </c>
      <c r="G1665" s="2">
        <f>DAY(EOMONTH(TA[[#This Row],[Month Year]],0))</f>
        <v>31</v>
      </c>
      <c r="H1665" s="21">
        <v>45864</v>
      </c>
      <c r="I1665" s="41">
        <f>IFERROR(VLOOKUP(TA[[#This Row],[Date]],Raw_Data[[Date]:[Sunset Time (POA&lt;20 W/m2)]],3,0),"")</f>
        <v>0.27430555555555558</v>
      </c>
      <c r="J1665" s="41">
        <f>IFERROR(VLOOKUP(TA[[#This Row],[Date]],Raw_Data[[Date]:[Sunset Time (POA&lt;20 W/m2)]],4,0),"")</f>
        <v>0.77361111111111114</v>
      </c>
      <c r="K1665" s="35">
        <f>IFERROR((TA[[#This Row],[Sunset Time (POA&lt;20 W/m2)]]-TA[[#This Row],[Sunrise Time (POA&gt;20 W/m2)]])*24,"")</f>
        <v>11.983333333333334</v>
      </c>
      <c r="L1665" s="2" t="s">
        <v>296</v>
      </c>
      <c r="M1665" s="42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330</v>
      </c>
      <c r="Q1665" s="2" t="s">
        <v>323</v>
      </c>
      <c r="R1665">
        <v>31</v>
      </c>
      <c r="S1665" s="2">
        <v>61</v>
      </c>
      <c r="T1665" t="s">
        <v>297</v>
      </c>
      <c r="U1665" t="s">
        <v>300</v>
      </c>
      <c r="V1665" t="s">
        <v>301</v>
      </c>
      <c r="W1665" s="41"/>
      <c r="X1665" s="41"/>
      <c r="Y1665" s="34"/>
      <c r="Z1665" s="34"/>
      <c r="AA1665" s="35">
        <f>IF(TA[[#This Row],[Work Start time on Fault]]="NA","",(TA[[#This Row],[Fault Acknowledgement Time ]]-TA[[#This Row],[Fault Time]])*24)</f>
        <v>0</v>
      </c>
      <c r="AB1665" s="35">
        <f>(TA[[#This Row],[Work Start time on Fault]]-TA[[#This Row],[Fault Time]])*24</f>
        <v>0</v>
      </c>
      <c r="AC1665" s="34">
        <f>(TA[[#This Row],[Work Completion time on fault]]-TA[[#This Row],[Fault Time]])*24</f>
        <v>0</v>
      </c>
      <c r="AD1665" s="35">
        <f>IFERROR((TA[[#This Row],[Work Completion time on fault]]-TA[[#This Row],[Fault Time]])*24,"")</f>
        <v>0</v>
      </c>
      <c r="AE1665" t="s">
        <v>328</v>
      </c>
      <c r="AF1665" t="s">
        <v>256</v>
      </c>
      <c r="AG1665" s="2"/>
      <c r="AH1665" s="44">
        <f>1-COS(RADIANS(TA[[#This Row],[Avg. Target Angle during Fault Time (Radians)]]-TA[[#This Row],[Angle of affected equipment ]]))</f>
        <v>0.11705240714107301</v>
      </c>
      <c r="AI1665" s="35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56">
        <f t="shared" si="207"/>
        <v>2026</v>
      </c>
      <c r="C1666" s="129">
        <f t="shared" si="208"/>
        <v>2025</v>
      </c>
      <c r="D1666" s="2" t="s">
        <v>155</v>
      </c>
      <c r="E1666" s="2" t="s">
        <v>155</v>
      </c>
      <c r="F1666" s="39">
        <v>45839</v>
      </c>
      <c r="G1666" s="2">
        <f>DAY(EOMONTH(TA[[#This Row],[Month Year]],0))</f>
        <v>31</v>
      </c>
      <c r="H1666" s="21">
        <v>45864</v>
      </c>
      <c r="I1666" s="41">
        <f>IFERROR(VLOOKUP(TA[[#This Row],[Date]],Raw_Data[[Date]:[Sunset Time (POA&lt;20 W/m2)]],3,0),"")</f>
        <v>0.27430555555555558</v>
      </c>
      <c r="J1666" s="41">
        <f>IFERROR(VLOOKUP(TA[[#This Row],[Date]],Raw_Data[[Date]:[Sunset Time (POA&lt;20 W/m2)]],4,0),"")</f>
        <v>0.77361111111111114</v>
      </c>
      <c r="K1666" s="35">
        <f>IFERROR((TA[[#This Row],[Sunset Time (POA&lt;20 W/m2)]]-TA[[#This Row],[Sunrise Time (POA&gt;20 W/m2)]])*24,"")</f>
        <v>11.983333333333334</v>
      </c>
      <c r="L1666" s="2" t="s">
        <v>312</v>
      </c>
      <c r="M1666" s="42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330</v>
      </c>
      <c r="Q1666" s="2" t="s">
        <v>323</v>
      </c>
      <c r="R1666">
        <v>26</v>
      </c>
      <c r="S1666" s="2">
        <v>37</v>
      </c>
      <c r="T1666" t="s">
        <v>297</v>
      </c>
      <c r="U1666" t="s">
        <v>300</v>
      </c>
      <c r="V1666" t="s">
        <v>301</v>
      </c>
      <c r="W1666" s="41"/>
      <c r="X1666" s="41"/>
      <c r="Y1666" s="34"/>
      <c r="Z1666" s="34"/>
      <c r="AA1666" s="35">
        <f>IF(TA[[#This Row],[Work Start time on Fault]]="NA","",(TA[[#This Row],[Fault Acknowledgement Time ]]-TA[[#This Row],[Fault Time]])*24)</f>
        <v>0</v>
      </c>
      <c r="AB1666" s="35">
        <f>(TA[[#This Row],[Work Start time on Fault]]-TA[[#This Row],[Fault Time]])*24</f>
        <v>0</v>
      </c>
      <c r="AC1666" s="34">
        <f>(TA[[#This Row],[Work Completion time on fault]]-TA[[#This Row],[Fault Time]])*24</f>
        <v>0</v>
      </c>
      <c r="AD1666" s="35">
        <f>IFERROR((TA[[#This Row],[Work Completion time on fault]]-TA[[#This Row],[Fault Time]])*24,"")</f>
        <v>0</v>
      </c>
      <c r="AE1666" t="s">
        <v>328</v>
      </c>
      <c r="AF1666" t="s">
        <v>256</v>
      </c>
      <c r="AG1666" s="2"/>
      <c r="AH1666" s="44">
        <f>1-COS(RADIANS(TA[[#This Row],[Avg. Target Angle during Fault Time (Radians)]]-TA[[#This Row],[Angle of affected equipment ]]))</f>
        <v>0.11705240714107301</v>
      </c>
      <c r="AI1666" s="35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56">
        <f t="shared" si="207"/>
        <v>2026</v>
      </c>
      <c r="C1667" s="129">
        <f t="shared" si="208"/>
        <v>2025</v>
      </c>
      <c r="D1667" s="2" t="s">
        <v>155</v>
      </c>
      <c r="E1667" s="2" t="s">
        <v>155</v>
      </c>
      <c r="F1667" s="39">
        <v>45839</v>
      </c>
      <c r="G1667" s="2">
        <f>DAY(EOMONTH(TA[[#This Row],[Month Year]],0))</f>
        <v>31</v>
      </c>
      <c r="H1667" s="21">
        <v>45864</v>
      </c>
      <c r="I1667" s="41">
        <f>IFERROR(VLOOKUP(TA[[#This Row],[Date]],Raw_Data[[Date]:[Sunset Time (POA&lt;20 W/m2)]],3,0),"")</f>
        <v>0.27430555555555558</v>
      </c>
      <c r="J1667" s="41">
        <f>IFERROR(VLOOKUP(TA[[#This Row],[Date]],Raw_Data[[Date]:[Sunset Time (POA&lt;20 W/m2)]],4,0),"")</f>
        <v>0.77361111111111114</v>
      </c>
      <c r="K1667" s="35">
        <f>IFERROR((TA[[#This Row],[Sunset Time (POA&lt;20 W/m2)]]-TA[[#This Row],[Sunrise Time (POA&gt;20 W/m2)]])*24,"")</f>
        <v>11.983333333333334</v>
      </c>
      <c r="L1667" s="2" t="s">
        <v>312</v>
      </c>
      <c r="M1667" s="42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330</v>
      </c>
      <c r="Q1667" s="2" t="s">
        <v>323</v>
      </c>
      <c r="R1667">
        <v>27</v>
      </c>
      <c r="S1667" s="2">
        <v>42</v>
      </c>
      <c r="T1667" t="s">
        <v>297</v>
      </c>
      <c r="U1667" t="s">
        <v>300</v>
      </c>
      <c r="V1667" t="s">
        <v>301</v>
      </c>
      <c r="W1667" s="41">
        <f>IFERROR(VLOOKUP(TA[[#This Row],[Date]],Raw_Data[[Date]:[Sunset Time (POA&lt;20 W/m2)]],3,0),"")</f>
        <v>0.27430555555555558</v>
      </c>
      <c r="X1667" s="41">
        <f>IFERROR(VLOOKUP(TA[[#This Row],[Date]],Raw_Data[[Date]:[Sunset Time (POA&lt;20 W/m2)]],3,0),"")</f>
        <v>0.27430555555555558</v>
      </c>
      <c r="Y1667" s="34"/>
      <c r="Z1667" s="34">
        <v>0.76041666666666663</v>
      </c>
      <c r="AA1667" s="35">
        <f>IF(TA[[#This Row],[Work Start time on Fault]]="NA","",(TA[[#This Row],[Fault Acknowledgement Time ]]-TA[[#This Row],[Fault Time]])*24)</f>
        <v>0</v>
      </c>
      <c r="AB1667" s="35">
        <f>(TA[[#This Row],[Work Start time on Fault]]-TA[[#This Row],[Fault Time]])*24</f>
        <v>-6.5833333333333339</v>
      </c>
      <c r="AC1667" s="34">
        <f>(TA[[#This Row],[Work Completion time on fault]]-TA[[#This Row],[Fault Time]])*24</f>
        <v>11.666666666666664</v>
      </c>
      <c r="AD1667" s="35">
        <f>IFERROR((TA[[#This Row],[Work Completion time on fault]]-TA[[#This Row],[Fault Time]])*24,"")</f>
        <v>11.666666666666664</v>
      </c>
      <c r="AE1667" t="s">
        <v>309</v>
      </c>
      <c r="AF1667" t="s">
        <v>256</v>
      </c>
      <c r="AG1667" s="2"/>
      <c r="AH1667" s="44">
        <f>1-COS(RADIANS(TA[[#This Row],[Avg. Target Angle during Fault Time (Radians)]]-TA[[#This Row],[Angle of affected equipment ]]))</f>
        <v>0.11705240714107301</v>
      </c>
      <c r="AI1667" s="35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56">
        <f t="shared" ref="B1668:B1680" si="210">YEAR(H1668)+IF(MONTH(H1668)&gt;=4,1,0)</f>
        <v>2026</v>
      </c>
      <c r="C1668" s="129">
        <f t="shared" ref="C1668:C1680" si="211">YEAR(H1668)</f>
        <v>2025</v>
      </c>
      <c r="D1668" s="2" t="s">
        <v>155</v>
      </c>
      <c r="E1668" s="2" t="s">
        <v>155</v>
      </c>
      <c r="F1668" s="39">
        <v>45839</v>
      </c>
      <c r="G1668" s="2">
        <f>DAY(EOMONTH(TA[[#This Row],[Month Year]],0))</f>
        <v>31</v>
      </c>
      <c r="H1668" s="21">
        <v>45865</v>
      </c>
      <c r="I1668" s="41">
        <f>IFERROR(VLOOKUP(TA[[#This Row],[Date]],Raw_Data[[Date]:[Sunset Time (POA&lt;20 W/m2)]],3,0),"")</f>
        <v>0.2590277777777778</v>
      </c>
      <c r="J1668" s="41">
        <f>IFERROR(VLOOKUP(TA[[#This Row],[Date]],Raw_Data[[Date]:[Sunset Time (POA&lt;20 W/m2)]],4,0),"")</f>
        <v>0.78402777777777777</v>
      </c>
      <c r="K1668" s="35">
        <f>IFERROR((TA[[#This Row],[Sunset Time (POA&lt;20 W/m2)]]-TA[[#This Row],[Sunrise Time (POA&gt;20 W/m2)]])*24,"")</f>
        <v>12.599999999999998</v>
      </c>
      <c r="L1668" s="2" t="s">
        <v>294</v>
      </c>
      <c r="M1668" s="42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27" t="s">
        <v>318</v>
      </c>
      <c r="Q1668" s="126" t="s">
        <v>318</v>
      </c>
      <c r="R1668">
        <v>131</v>
      </c>
      <c r="S1668" s="2">
        <v>38</v>
      </c>
      <c r="T1668" t="s">
        <v>295</v>
      </c>
      <c r="U1668" t="s">
        <v>300</v>
      </c>
      <c r="V1668" t="s">
        <v>298</v>
      </c>
      <c r="W1668" s="41"/>
      <c r="X1668" s="41"/>
      <c r="Y1668" s="34"/>
      <c r="Z1668" s="34"/>
      <c r="AA1668" s="35">
        <f>IF(TA[[#This Row],[Work Start time on Fault]]="NA","",(TA[[#This Row],[Fault Acknowledgement Time ]]-TA[[#This Row],[Fault Time]])*24)</f>
        <v>0</v>
      </c>
      <c r="AB1668" s="35">
        <f>(TA[[#This Row],[Work Start time on Fault]]-TA[[#This Row],[Fault Time]])*24</f>
        <v>0</v>
      </c>
      <c r="AC1668" s="34">
        <f>(TA[[#This Row],[Work Completion time on fault]]-TA[[#This Row],[Fault Time]])*24</f>
        <v>0</v>
      </c>
      <c r="AD1668" s="35">
        <f>IFERROR((TA[[#This Row],[Work Completion time on fault]]-TA[[#This Row],[Fault Time]])*24,"")</f>
        <v>0</v>
      </c>
      <c r="AE1668" t="s">
        <v>328</v>
      </c>
      <c r="AF1668" t="s">
        <v>256</v>
      </c>
      <c r="AG1668" s="2"/>
      <c r="AH1668" s="44">
        <f>1-COS(RADIANS(TA[[#This Row],[Avg. Target Angle during Fault Time (Radians)]]-TA[[#This Row],[Angle of affected equipment ]]))</f>
        <v>0.11705240714107301</v>
      </c>
      <c r="AI1668" s="35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56">
        <f t="shared" si="210"/>
        <v>2026</v>
      </c>
      <c r="C1669" s="129">
        <f t="shared" si="211"/>
        <v>2025</v>
      </c>
      <c r="D1669" s="2" t="s">
        <v>155</v>
      </c>
      <c r="E1669" s="2" t="s">
        <v>155</v>
      </c>
      <c r="F1669" s="39">
        <v>45839</v>
      </c>
      <c r="G1669" s="2">
        <f>DAY(EOMONTH(TA[[#This Row],[Month Year]],0))</f>
        <v>31</v>
      </c>
      <c r="H1669" s="21">
        <v>45865</v>
      </c>
      <c r="I1669" s="41">
        <f>IFERROR(VLOOKUP(TA[[#This Row],[Date]],Raw_Data[[Date]:[Sunset Time (POA&lt;20 W/m2)]],3,0),"")</f>
        <v>0.2590277777777778</v>
      </c>
      <c r="J1669" s="41">
        <f>IFERROR(VLOOKUP(TA[[#This Row],[Date]],Raw_Data[[Date]:[Sunset Time (POA&lt;20 W/m2)]],4,0),"")</f>
        <v>0.78402777777777777</v>
      </c>
      <c r="K1669" s="35">
        <f>IFERROR((TA[[#This Row],[Sunset Time (POA&lt;20 W/m2)]]-TA[[#This Row],[Sunrise Time (POA&gt;20 W/m2)]])*24,"")</f>
        <v>12.599999999999998</v>
      </c>
      <c r="L1669" s="2" t="s">
        <v>294</v>
      </c>
      <c r="M1669" s="42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27" t="s">
        <v>318</v>
      </c>
      <c r="Q1669" s="126" t="s">
        <v>318</v>
      </c>
      <c r="R1669">
        <v>131</v>
      </c>
      <c r="S1669" s="2">
        <v>39</v>
      </c>
      <c r="T1669" t="s">
        <v>295</v>
      </c>
      <c r="U1669" t="s">
        <v>300</v>
      </c>
      <c r="V1669" t="s">
        <v>298</v>
      </c>
      <c r="W1669" s="41"/>
      <c r="X1669" s="41"/>
      <c r="Y1669" s="34"/>
      <c r="Z1669" s="34"/>
      <c r="AA1669" s="35">
        <f>IF(TA[[#This Row],[Work Start time on Fault]]="NA","",(TA[[#This Row],[Fault Acknowledgement Time ]]-TA[[#This Row],[Fault Time]])*24)</f>
        <v>0</v>
      </c>
      <c r="AB1669" s="35">
        <f>(TA[[#This Row],[Work Start time on Fault]]-TA[[#This Row],[Fault Time]])*24</f>
        <v>0</v>
      </c>
      <c r="AC1669" s="34">
        <f>(TA[[#This Row],[Work Completion time on fault]]-TA[[#This Row],[Fault Time]])*24</f>
        <v>0</v>
      </c>
      <c r="AD1669" s="35">
        <f>IFERROR((TA[[#This Row],[Work Completion time on fault]]-TA[[#This Row],[Fault Time]])*24,"")</f>
        <v>0</v>
      </c>
      <c r="AE1669" t="s">
        <v>328</v>
      </c>
      <c r="AF1669" t="s">
        <v>256</v>
      </c>
      <c r="AG1669" s="2"/>
      <c r="AH1669" s="44">
        <f>1-COS(RADIANS(TA[[#This Row],[Avg. Target Angle during Fault Time (Radians)]]-TA[[#This Row],[Angle of affected equipment ]]))</f>
        <v>0.11705240714107301</v>
      </c>
      <c r="AI1669" s="35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56">
        <f t="shared" si="210"/>
        <v>2026</v>
      </c>
      <c r="C1670" s="129">
        <f t="shared" si="211"/>
        <v>2025</v>
      </c>
      <c r="D1670" s="2" t="s">
        <v>155</v>
      </c>
      <c r="E1670" s="2" t="s">
        <v>155</v>
      </c>
      <c r="F1670" s="39">
        <v>45839</v>
      </c>
      <c r="G1670" s="2">
        <f>DAY(EOMONTH(TA[[#This Row],[Month Year]],0))</f>
        <v>31</v>
      </c>
      <c r="H1670" s="21">
        <v>45865</v>
      </c>
      <c r="I1670" s="41">
        <f>IFERROR(VLOOKUP(TA[[#This Row],[Date]],Raw_Data[[Date]:[Sunset Time (POA&lt;20 W/m2)]],3,0),"")</f>
        <v>0.2590277777777778</v>
      </c>
      <c r="J1670" s="41">
        <f>IFERROR(VLOOKUP(TA[[#This Row],[Date]],Raw_Data[[Date]:[Sunset Time (POA&lt;20 W/m2)]],4,0),"")</f>
        <v>0.78402777777777777</v>
      </c>
      <c r="K1670" s="35">
        <f>IFERROR((TA[[#This Row],[Sunset Time (POA&lt;20 W/m2)]]-TA[[#This Row],[Sunrise Time (POA&gt;20 W/m2)]])*24,"")</f>
        <v>12.599999999999998</v>
      </c>
      <c r="L1670" s="2" t="s">
        <v>296</v>
      </c>
      <c r="M1670" s="42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27" t="s">
        <v>318</v>
      </c>
      <c r="Q1670" s="2" t="s">
        <v>321</v>
      </c>
      <c r="R1670">
        <v>133</v>
      </c>
      <c r="S1670" s="2">
        <v>26</v>
      </c>
      <c r="T1670" t="s">
        <v>297</v>
      </c>
      <c r="U1670" t="s">
        <v>300</v>
      </c>
      <c r="V1670" t="s">
        <v>314</v>
      </c>
      <c r="W1670" s="41">
        <f>IFERROR(VLOOKUP(TA[[#This Row],[Date]],Raw_Data[[Date]:[Sunset Time (POA&lt;20 W/m2)]],3,0),"")</f>
        <v>0.2590277777777778</v>
      </c>
      <c r="X1670" s="41">
        <f>IFERROR(VLOOKUP(TA[[#This Row],[Date]],Raw_Data[[Date]:[Sunset Time (POA&lt;20 W/m2)]],3,0),"")</f>
        <v>0.2590277777777778</v>
      </c>
      <c r="Y1670" s="34"/>
      <c r="Z1670" s="34">
        <v>0.76041666666666663</v>
      </c>
      <c r="AA1670" s="35">
        <f>IF(TA[[#This Row],[Work Start time on Fault]]="NA","",(TA[[#This Row],[Fault Acknowledgement Time ]]-TA[[#This Row],[Fault Time]])*24)</f>
        <v>0</v>
      </c>
      <c r="AB1670" s="35">
        <f>(TA[[#This Row],[Work Start time on Fault]]-TA[[#This Row],[Fault Time]])*24</f>
        <v>-6.2166666666666668</v>
      </c>
      <c r="AC1670" s="34">
        <f>(TA[[#This Row],[Work Completion time on fault]]-TA[[#This Row],[Fault Time]])*24</f>
        <v>12.033333333333333</v>
      </c>
      <c r="AD1670" s="35">
        <f>IFERROR((TA[[#This Row],[Work Completion time on fault]]-TA[[#This Row],[Fault Time]])*24,"")</f>
        <v>12.033333333333333</v>
      </c>
      <c r="AE1670" t="s">
        <v>328</v>
      </c>
      <c r="AF1670" t="s">
        <v>256</v>
      </c>
      <c r="AG1670" s="2"/>
      <c r="AH1670" s="44">
        <f>1-COS(RADIANS(TA[[#This Row],[Avg. Target Angle during Fault Time (Radians)]]-TA[[#This Row],[Angle of affected equipment ]]))</f>
        <v>0.11705240714107301</v>
      </c>
      <c r="AI1670" s="35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56">
        <f t="shared" si="210"/>
        <v>2026</v>
      </c>
      <c r="C1671" s="129">
        <f t="shared" si="211"/>
        <v>2025</v>
      </c>
      <c r="D1671" s="2" t="s">
        <v>155</v>
      </c>
      <c r="E1671" s="2" t="s">
        <v>155</v>
      </c>
      <c r="F1671" s="39">
        <v>45839</v>
      </c>
      <c r="G1671" s="2">
        <f>DAY(EOMONTH(TA[[#This Row],[Month Year]],0))</f>
        <v>31</v>
      </c>
      <c r="H1671" s="21">
        <v>45865</v>
      </c>
      <c r="I1671" s="41">
        <f>IFERROR(VLOOKUP(TA[[#This Row],[Date]],Raw_Data[[Date]:[Sunset Time (POA&lt;20 W/m2)]],3,0),"")</f>
        <v>0.2590277777777778</v>
      </c>
      <c r="J1671" s="41">
        <f>IFERROR(VLOOKUP(TA[[#This Row],[Date]],Raw_Data[[Date]:[Sunset Time (POA&lt;20 W/m2)]],4,0),"")</f>
        <v>0.78402777777777777</v>
      </c>
      <c r="K1671" s="35">
        <f>IFERROR((TA[[#This Row],[Sunset Time (POA&lt;20 W/m2)]]-TA[[#This Row],[Sunrise Time (POA&gt;20 W/m2)]])*24,"")</f>
        <v>12.599999999999998</v>
      </c>
      <c r="L1671" s="2" t="s">
        <v>294</v>
      </c>
      <c r="M1671" s="42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27" t="s">
        <v>316</v>
      </c>
      <c r="Q1671" s="126" t="s">
        <v>317</v>
      </c>
      <c r="R1671">
        <v>7</v>
      </c>
      <c r="S1671" s="2">
        <v>32</v>
      </c>
      <c r="T1671" t="s">
        <v>295</v>
      </c>
      <c r="U1671" t="s">
        <v>300</v>
      </c>
      <c r="V1671" t="s">
        <v>298</v>
      </c>
      <c r="W1671" s="41"/>
      <c r="X1671" s="41"/>
      <c r="Y1671" s="34"/>
      <c r="Z1671" s="34"/>
      <c r="AA1671" s="35">
        <f>IF(TA[[#This Row],[Work Start time on Fault]]="NA","",(TA[[#This Row],[Fault Acknowledgement Time ]]-TA[[#This Row],[Fault Time]])*24)</f>
        <v>0</v>
      </c>
      <c r="AB1671" s="35">
        <f>(TA[[#This Row],[Work Start time on Fault]]-TA[[#This Row],[Fault Time]])*24</f>
        <v>0</v>
      </c>
      <c r="AC1671" s="34">
        <f>(TA[[#This Row],[Work Completion time on fault]]-TA[[#This Row],[Fault Time]])*24</f>
        <v>0</v>
      </c>
      <c r="AD1671" s="35">
        <f>IFERROR((TA[[#This Row],[Work Completion time on fault]]-TA[[#This Row],[Fault Time]])*24,"")</f>
        <v>0</v>
      </c>
      <c r="AE1671" t="s">
        <v>328</v>
      </c>
      <c r="AF1671" t="s">
        <v>256</v>
      </c>
      <c r="AG1671" s="2"/>
      <c r="AH1671" s="44">
        <f>1-COS(RADIANS(TA[[#This Row],[Avg. Target Angle during Fault Time (Radians)]]-TA[[#This Row],[Angle of affected equipment ]]))</f>
        <v>0.11705240714107301</v>
      </c>
      <c r="AI1671" s="35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56">
        <f t="shared" si="210"/>
        <v>2026</v>
      </c>
      <c r="C1672" s="129">
        <f t="shared" si="211"/>
        <v>2025</v>
      </c>
      <c r="D1672" s="2" t="s">
        <v>155</v>
      </c>
      <c r="E1672" s="2" t="s">
        <v>155</v>
      </c>
      <c r="F1672" s="39">
        <v>45839</v>
      </c>
      <c r="G1672" s="2">
        <f>DAY(EOMONTH(TA[[#This Row],[Month Year]],0))</f>
        <v>31</v>
      </c>
      <c r="H1672" s="21">
        <v>45865</v>
      </c>
      <c r="I1672" s="41">
        <f>IFERROR(VLOOKUP(TA[[#This Row],[Date]],Raw_Data[[Date]:[Sunset Time (POA&lt;20 W/m2)]],3,0),"")</f>
        <v>0.2590277777777778</v>
      </c>
      <c r="J1672" s="41">
        <f>IFERROR(VLOOKUP(TA[[#This Row],[Date]],Raw_Data[[Date]:[Sunset Time (POA&lt;20 W/m2)]],4,0),"")</f>
        <v>0.78402777777777777</v>
      </c>
      <c r="K1672" s="35">
        <f>IFERROR((TA[[#This Row],[Sunset Time (POA&lt;20 W/m2)]]-TA[[#This Row],[Sunrise Time (POA&gt;20 W/m2)]])*24,"")</f>
        <v>12.599999999999998</v>
      </c>
      <c r="L1672" s="2" t="s">
        <v>294</v>
      </c>
      <c r="M1672" s="42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27" t="s">
        <v>315</v>
      </c>
      <c r="Q1672" s="126" t="s">
        <v>319</v>
      </c>
      <c r="R1672">
        <v>166</v>
      </c>
      <c r="S1672" s="2">
        <v>91</v>
      </c>
      <c r="T1672" t="s">
        <v>295</v>
      </c>
      <c r="U1672" t="s">
        <v>300</v>
      </c>
      <c r="V1672" t="s">
        <v>298</v>
      </c>
      <c r="W1672" s="41"/>
      <c r="X1672" s="41"/>
      <c r="Y1672" s="34"/>
      <c r="Z1672" s="34"/>
      <c r="AA1672" s="35">
        <f>IF(TA[[#This Row],[Work Start time on Fault]]="NA","",(TA[[#This Row],[Fault Acknowledgement Time ]]-TA[[#This Row],[Fault Time]])*24)</f>
        <v>0</v>
      </c>
      <c r="AB1672" s="35">
        <f>(TA[[#This Row],[Work Start time on Fault]]-TA[[#This Row],[Fault Time]])*24</f>
        <v>0</v>
      </c>
      <c r="AC1672" s="34">
        <f>(TA[[#This Row],[Work Completion time on fault]]-TA[[#This Row],[Fault Time]])*24</f>
        <v>0</v>
      </c>
      <c r="AD1672" s="35">
        <f>IFERROR((TA[[#This Row],[Work Completion time on fault]]-TA[[#This Row],[Fault Time]])*24,"")</f>
        <v>0</v>
      </c>
      <c r="AE1672" t="s">
        <v>328</v>
      </c>
      <c r="AF1672" t="s">
        <v>256</v>
      </c>
      <c r="AG1672" s="2"/>
      <c r="AH1672" s="44">
        <f>1-COS(RADIANS(TA[[#This Row],[Avg. Target Angle during Fault Time (Radians)]]-TA[[#This Row],[Angle of affected equipment ]]))</f>
        <v>0.11705240714107301</v>
      </c>
      <c r="AI1672" s="35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56">
        <f t="shared" si="210"/>
        <v>2026</v>
      </c>
      <c r="C1673" s="129">
        <f t="shared" si="211"/>
        <v>2025</v>
      </c>
      <c r="D1673" s="2" t="s">
        <v>155</v>
      </c>
      <c r="E1673" s="2" t="s">
        <v>155</v>
      </c>
      <c r="F1673" s="39">
        <v>45839</v>
      </c>
      <c r="G1673" s="2">
        <f>DAY(EOMONTH(TA[[#This Row],[Month Year]],0))</f>
        <v>31</v>
      </c>
      <c r="H1673" s="21">
        <v>45865</v>
      </c>
      <c r="I1673" s="41">
        <f>IFERROR(VLOOKUP(TA[[#This Row],[Date]],Raw_Data[[Date]:[Sunset Time (POA&lt;20 W/m2)]],3,0),"")</f>
        <v>0.2590277777777778</v>
      </c>
      <c r="J1673" s="41">
        <f>IFERROR(VLOOKUP(TA[[#This Row],[Date]],Raw_Data[[Date]:[Sunset Time (POA&lt;20 W/m2)]],4,0),"")</f>
        <v>0.78402777777777777</v>
      </c>
      <c r="K1673" s="35">
        <f>IFERROR((TA[[#This Row],[Sunset Time (POA&lt;20 W/m2)]]-TA[[#This Row],[Sunrise Time (POA&gt;20 W/m2)]])*24,"")</f>
        <v>12.599999999999998</v>
      </c>
      <c r="L1673" s="2" t="s">
        <v>294</v>
      </c>
      <c r="M1673" s="42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27" t="s">
        <v>316</v>
      </c>
      <c r="Q1673" s="126" t="s">
        <v>316</v>
      </c>
      <c r="R1673">
        <v>117</v>
      </c>
      <c r="S1673" s="2">
        <v>20</v>
      </c>
      <c r="T1673" t="s">
        <v>295</v>
      </c>
      <c r="U1673" t="s">
        <v>300</v>
      </c>
      <c r="V1673" t="s">
        <v>298</v>
      </c>
      <c r="W1673" s="41"/>
      <c r="X1673" s="41"/>
      <c r="Y1673" s="34"/>
      <c r="Z1673" s="34"/>
      <c r="AA1673" s="35">
        <f>IF(TA[[#This Row],[Work Start time on Fault]]="NA","",(TA[[#This Row],[Fault Acknowledgement Time ]]-TA[[#This Row],[Fault Time]])*24)</f>
        <v>0</v>
      </c>
      <c r="AB1673" s="35">
        <f>(TA[[#This Row],[Work Start time on Fault]]-TA[[#This Row],[Fault Time]])*24</f>
        <v>0</v>
      </c>
      <c r="AC1673" s="34">
        <f>(TA[[#This Row],[Work Completion time on fault]]-TA[[#This Row],[Fault Time]])*24</f>
        <v>0</v>
      </c>
      <c r="AD1673" s="35">
        <f>IFERROR((TA[[#This Row],[Work Completion time on fault]]-TA[[#This Row],[Fault Time]])*24,"")</f>
        <v>0</v>
      </c>
      <c r="AE1673" t="s">
        <v>328</v>
      </c>
      <c r="AF1673" t="s">
        <v>256</v>
      </c>
      <c r="AG1673" s="2"/>
      <c r="AH1673" s="44">
        <f>1-COS(RADIANS(TA[[#This Row],[Avg. Target Angle during Fault Time (Radians)]]-TA[[#This Row],[Angle of affected equipment ]]))</f>
        <v>0.11705240714107301</v>
      </c>
      <c r="AI1673" s="35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56">
        <f t="shared" si="210"/>
        <v>2026</v>
      </c>
      <c r="C1674" s="129">
        <f t="shared" si="211"/>
        <v>2025</v>
      </c>
      <c r="D1674" s="2" t="s">
        <v>155</v>
      </c>
      <c r="E1674" s="2" t="s">
        <v>155</v>
      </c>
      <c r="F1674" s="39">
        <v>45839</v>
      </c>
      <c r="G1674" s="2">
        <f>DAY(EOMONTH(TA[[#This Row],[Month Year]],0))</f>
        <v>31</v>
      </c>
      <c r="H1674" s="21">
        <v>45865</v>
      </c>
      <c r="I1674" s="41">
        <f>IFERROR(VLOOKUP(TA[[#This Row],[Date]],Raw_Data[[Date]:[Sunset Time (POA&lt;20 W/m2)]],3,0),"")</f>
        <v>0.2590277777777778</v>
      </c>
      <c r="J1674" s="41">
        <f>IFERROR(VLOOKUP(TA[[#This Row],[Date]],Raw_Data[[Date]:[Sunset Time (POA&lt;20 W/m2)]],4,0),"")</f>
        <v>0.78402777777777777</v>
      </c>
      <c r="K1674" s="35">
        <f>IFERROR((TA[[#This Row],[Sunset Time (POA&lt;20 W/m2)]]-TA[[#This Row],[Sunrise Time (POA&gt;20 W/m2)]])*24,"")</f>
        <v>12.599999999999998</v>
      </c>
      <c r="L1674" s="2" t="s">
        <v>294</v>
      </c>
      <c r="M1674" s="42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27" t="s">
        <v>316</v>
      </c>
      <c r="Q1674" s="126" t="s">
        <v>316</v>
      </c>
      <c r="R1674">
        <v>118</v>
      </c>
      <c r="S1674" s="2">
        <v>22</v>
      </c>
      <c r="T1674" t="s">
        <v>295</v>
      </c>
      <c r="U1674" t="s">
        <v>300</v>
      </c>
      <c r="V1674" t="s">
        <v>298</v>
      </c>
      <c r="W1674" s="41"/>
      <c r="X1674" s="41"/>
      <c r="Y1674" s="34"/>
      <c r="Z1674" s="34"/>
      <c r="AA1674" s="35">
        <f>IF(TA[[#This Row],[Work Start time on Fault]]="NA","",(TA[[#This Row],[Fault Acknowledgement Time ]]-TA[[#This Row],[Fault Time]])*24)</f>
        <v>0</v>
      </c>
      <c r="AB1674" s="35">
        <f>(TA[[#This Row],[Work Start time on Fault]]-TA[[#This Row],[Fault Time]])*24</f>
        <v>0</v>
      </c>
      <c r="AC1674" s="34">
        <f>(TA[[#This Row],[Work Completion time on fault]]-TA[[#This Row],[Fault Time]])*24</f>
        <v>0</v>
      </c>
      <c r="AD1674" s="35">
        <f>IFERROR((TA[[#This Row],[Work Completion time on fault]]-TA[[#This Row],[Fault Time]])*24,"")</f>
        <v>0</v>
      </c>
      <c r="AE1674" t="s">
        <v>328</v>
      </c>
      <c r="AF1674" t="s">
        <v>256</v>
      </c>
      <c r="AG1674" s="2"/>
      <c r="AH1674" s="44">
        <f>1-COS(RADIANS(TA[[#This Row],[Avg. Target Angle during Fault Time (Radians)]]-TA[[#This Row],[Angle of affected equipment ]]))</f>
        <v>0.11705240714107301</v>
      </c>
      <c r="AI1674" s="35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56">
        <f t="shared" si="210"/>
        <v>2026</v>
      </c>
      <c r="C1675" s="129">
        <f t="shared" si="211"/>
        <v>2025</v>
      </c>
      <c r="D1675" s="2" t="s">
        <v>155</v>
      </c>
      <c r="E1675" s="2" t="s">
        <v>155</v>
      </c>
      <c r="F1675" s="39">
        <v>45839</v>
      </c>
      <c r="G1675" s="2">
        <f>DAY(EOMONTH(TA[[#This Row],[Month Year]],0))</f>
        <v>31</v>
      </c>
      <c r="H1675" s="21">
        <v>45865</v>
      </c>
      <c r="I1675" s="41">
        <f>IFERROR(VLOOKUP(TA[[#This Row],[Date]],Raw_Data[[Date]:[Sunset Time (POA&lt;20 W/m2)]],3,0),"")</f>
        <v>0.2590277777777778</v>
      </c>
      <c r="J1675" s="41">
        <f>IFERROR(VLOOKUP(TA[[#This Row],[Date]],Raw_Data[[Date]:[Sunset Time (POA&lt;20 W/m2)]],4,0),"")</f>
        <v>0.78402777777777777</v>
      </c>
      <c r="K1675" s="35">
        <f>IFERROR((TA[[#This Row],[Sunset Time (POA&lt;20 W/m2)]]-TA[[#This Row],[Sunrise Time (POA&gt;20 W/m2)]])*24,"")</f>
        <v>12.599999999999998</v>
      </c>
      <c r="L1675" s="2" t="s">
        <v>296</v>
      </c>
      <c r="M1675" s="42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323</v>
      </c>
      <c r="Q1675" s="2" t="s">
        <v>329</v>
      </c>
      <c r="R1675">
        <v>45</v>
      </c>
      <c r="S1675" s="2">
        <v>8</v>
      </c>
      <c r="T1675" t="s">
        <v>297</v>
      </c>
      <c r="U1675" t="s">
        <v>300</v>
      </c>
      <c r="V1675" t="s">
        <v>301</v>
      </c>
      <c r="W1675" s="41"/>
      <c r="X1675" s="41"/>
      <c r="Y1675" s="34"/>
      <c r="Z1675" s="34"/>
      <c r="AA1675" s="35">
        <f>IF(TA[[#This Row],[Work Start time on Fault]]="NA","",(TA[[#This Row],[Fault Acknowledgement Time ]]-TA[[#This Row],[Fault Time]])*24)</f>
        <v>0</v>
      </c>
      <c r="AB1675" s="35">
        <f>(TA[[#This Row],[Work Start time on Fault]]-TA[[#This Row],[Fault Time]])*24</f>
        <v>0</v>
      </c>
      <c r="AC1675" s="34">
        <f>(TA[[#This Row],[Work Completion time on fault]]-TA[[#This Row],[Fault Time]])*24</f>
        <v>0</v>
      </c>
      <c r="AD1675" s="35">
        <f>IFERROR((TA[[#This Row],[Work Completion time on fault]]-TA[[#This Row],[Fault Time]])*24,"")</f>
        <v>0</v>
      </c>
      <c r="AE1675" t="s">
        <v>328</v>
      </c>
      <c r="AF1675" t="s">
        <v>256</v>
      </c>
      <c r="AG1675" s="2"/>
      <c r="AH1675" s="44">
        <f>1-COS(RADIANS(TA[[#This Row],[Avg. Target Angle during Fault Time (Radians)]]-TA[[#This Row],[Angle of affected equipment ]]))</f>
        <v>0.11705240714107301</v>
      </c>
      <c r="AI1675" s="35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56">
        <f t="shared" si="210"/>
        <v>2026</v>
      </c>
      <c r="C1676" s="129">
        <f t="shared" si="211"/>
        <v>2025</v>
      </c>
      <c r="D1676" s="2" t="s">
        <v>155</v>
      </c>
      <c r="E1676" s="2" t="s">
        <v>155</v>
      </c>
      <c r="F1676" s="39">
        <v>45839</v>
      </c>
      <c r="G1676" s="2">
        <f>DAY(EOMONTH(TA[[#This Row],[Month Year]],0))</f>
        <v>31</v>
      </c>
      <c r="H1676" s="21">
        <v>45865</v>
      </c>
      <c r="I1676" s="41">
        <f>IFERROR(VLOOKUP(TA[[#This Row],[Date]],Raw_Data[[Date]:[Sunset Time (POA&lt;20 W/m2)]],3,0),"")</f>
        <v>0.2590277777777778</v>
      </c>
      <c r="J1676" s="41">
        <f>IFERROR(VLOOKUP(TA[[#This Row],[Date]],Raw_Data[[Date]:[Sunset Time (POA&lt;20 W/m2)]],4,0),"")</f>
        <v>0.78402777777777777</v>
      </c>
      <c r="K1676" s="35">
        <f>IFERROR((TA[[#This Row],[Sunset Time (POA&lt;20 W/m2)]]-TA[[#This Row],[Sunrise Time (POA&gt;20 W/m2)]])*24,"")</f>
        <v>12.599999999999998</v>
      </c>
      <c r="L1676" s="2" t="s">
        <v>296</v>
      </c>
      <c r="M1676" s="42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323</v>
      </c>
      <c r="Q1676" s="2" t="s">
        <v>329</v>
      </c>
      <c r="R1676">
        <v>47</v>
      </c>
      <c r="S1676" s="2">
        <v>18</v>
      </c>
      <c r="T1676" t="s">
        <v>297</v>
      </c>
      <c r="U1676" t="s">
        <v>300</v>
      </c>
      <c r="V1676" t="s">
        <v>301</v>
      </c>
      <c r="W1676" s="41"/>
      <c r="X1676" s="41"/>
      <c r="Y1676" s="34"/>
      <c r="Z1676" s="34"/>
      <c r="AA1676" s="35">
        <f>IF(TA[[#This Row],[Work Start time on Fault]]="NA","",(TA[[#This Row],[Fault Acknowledgement Time ]]-TA[[#This Row],[Fault Time]])*24)</f>
        <v>0</v>
      </c>
      <c r="AB1676" s="35">
        <f>(TA[[#This Row],[Work Start time on Fault]]-TA[[#This Row],[Fault Time]])*24</f>
        <v>0</v>
      </c>
      <c r="AC1676" s="34">
        <f>(TA[[#This Row],[Work Completion time on fault]]-TA[[#This Row],[Fault Time]])*24</f>
        <v>0</v>
      </c>
      <c r="AD1676" s="35">
        <f>IFERROR((TA[[#This Row],[Work Completion time on fault]]-TA[[#This Row],[Fault Time]])*24,"")</f>
        <v>0</v>
      </c>
      <c r="AE1676" t="s">
        <v>328</v>
      </c>
      <c r="AF1676" t="s">
        <v>256</v>
      </c>
      <c r="AG1676" s="2"/>
      <c r="AH1676" s="44">
        <f>1-COS(RADIANS(TA[[#This Row],[Avg. Target Angle during Fault Time (Radians)]]-TA[[#This Row],[Angle of affected equipment ]]))</f>
        <v>0.11705240714107301</v>
      </c>
      <c r="AI1676" s="35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56">
        <f t="shared" si="210"/>
        <v>2026</v>
      </c>
      <c r="C1677" s="129">
        <f t="shared" si="211"/>
        <v>2025</v>
      </c>
      <c r="D1677" s="2" t="s">
        <v>155</v>
      </c>
      <c r="E1677" s="2" t="s">
        <v>155</v>
      </c>
      <c r="F1677" s="39">
        <v>45839</v>
      </c>
      <c r="G1677" s="2">
        <f>DAY(EOMONTH(TA[[#This Row],[Month Year]],0))</f>
        <v>31</v>
      </c>
      <c r="H1677" s="21">
        <v>45865</v>
      </c>
      <c r="I1677" s="41">
        <f>IFERROR(VLOOKUP(TA[[#This Row],[Date]],Raw_Data[[Date]:[Sunset Time (POA&lt;20 W/m2)]],3,0),"")</f>
        <v>0.2590277777777778</v>
      </c>
      <c r="J1677" s="41">
        <f>IFERROR(VLOOKUP(TA[[#This Row],[Date]],Raw_Data[[Date]:[Sunset Time (POA&lt;20 W/m2)]],4,0),"")</f>
        <v>0.78402777777777777</v>
      </c>
      <c r="K1677" s="35">
        <f>IFERROR((TA[[#This Row],[Sunset Time (POA&lt;20 W/m2)]]-TA[[#This Row],[Sunrise Time (POA&gt;20 W/m2)]])*24,"")</f>
        <v>12.599999999999998</v>
      </c>
      <c r="L1677" s="2" t="s">
        <v>296</v>
      </c>
      <c r="M1677" s="42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330</v>
      </c>
      <c r="Q1677" s="2" t="s">
        <v>323</v>
      </c>
      <c r="R1677">
        <v>30</v>
      </c>
      <c r="S1677" s="2">
        <v>57</v>
      </c>
      <c r="T1677" t="s">
        <v>297</v>
      </c>
      <c r="U1677" t="s">
        <v>300</v>
      </c>
      <c r="V1677" t="s">
        <v>301</v>
      </c>
      <c r="W1677" s="41"/>
      <c r="X1677" s="41"/>
      <c r="Y1677" s="34"/>
      <c r="Z1677" s="34"/>
      <c r="AA1677" s="35">
        <f>IF(TA[[#This Row],[Work Start time on Fault]]="NA","",(TA[[#This Row],[Fault Acknowledgement Time ]]-TA[[#This Row],[Fault Time]])*24)</f>
        <v>0</v>
      </c>
      <c r="AB1677" s="35">
        <f>(TA[[#This Row],[Work Start time on Fault]]-TA[[#This Row],[Fault Time]])*24</f>
        <v>0</v>
      </c>
      <c r="AC1677" s="34">
        <f>(TA[[#This Row],[Work Completion time on fault]]-TA[[#This Row],[Fault Time]])*24</f>
        <v>0</v>
      </c>
      <c r="AD1677" s="35">
        <f>IFERROR((TA[[#This Row],[Work Completion time on fault]]-TA[[#This Row],[Fault Time]])*24,"")</f>
        <v>0</v>
      </c>
      <c r="AE1677" t="s">
        <v>328</v>
      </c>
      <c r="AF1677" t="s">
        <v>256</v>
      </c>
      <c r="AG1677" s="2"/>
      <c r="AH1677" s="44">
        <f>1-COS(RADIANS(TA[[#This Row],[Avg. Target Angle during Fault Time (Radians)]]-TA[[#This Row],[Angle of affected equipment ]]))</f>
        <v>0.11705240714107301</v>
      </c>
      <c r="AI1677" s="35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56">
        <f t="shared" si="210"/>
        <v>2026</v>
      </c>
      <c r="C1678" s="129">
        <f t="shared" si="211"/>
        <v>2025</v>
      </c>
      <c r="D1678" s="2" t="s">
        <v>155</v>
      </c>
      <c r="E1678" s="2" t="s">
        <v>155</v>
      </c>
      <c r="F1678" s="39">
        <v>45839</v>
      </c>
      <c r="G1678" s="2">
        <f>DAY(EOMONTH(TA[[#This Row],[Month Year]],0))</f>
        <v>31</v>
      </c>
      <c r="H1678" s="21">
        <v>45865</v>
      </c>
      <c r="I1678" s="41">
        <f>IFERROR(VLOOKUP(TA[[#This Row],[Date]],Raw_Data[[Date]:[Sunset Time (POA&lt;20 W/m2)]],3,0),"")</f>
        <v>0.2590277777777778</v>
      </c>
      <c r="J1678" s="41">
        <f>IFERROR(VLOOKUP(TA[[#This Row],[Date]],Raw_Data[[Date]:[Sunset Time (POA&lt;20 W/m2)]],4,0),"")</f>
        <v>0.78402777777777777</v>
      </c>
      <c r="K1678" s="35">
        <f>IFERROR((TA[[#This Row],[Sunset Time (POA&lt;20 W/m2)]]-TA[[#This Row],[Sunrise Time (POA&gt;20 W/m2)]])*24,"")</f>
        <v>12.599999999999998</v>
      </c>
      <c r="L1678" s="2" t="s">
        <v>296</v>
      </c>
      <c r="M1678" s="42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330</v>
      </c>
      <c r="Q1678" s="2" t="s">
        <v>323</v>
      </c>
      <c r="R1678">
        <v>31</v>
      </c>
      <c r="S1678" s="2">
        <v>61</v>
      </c>
      <c r="T1678" t="s">
        <v>297</v>
      </c>
      <c r="U1678" t="s">
        <v>300</v>
      </c>
      <c r="V1678" t="s">
        <v>301</v>
      </c>
      <c r="W1678" s="41"/>
      <c r="X1678" s="41"/>
      <c r="Y1678" s="34"/>
      <c r="Z1678" s="34"/>
      <c r="AA1678" s="35">
        <f>IF(TA[[#This Row],[Work Start time on Fault]]="NA","",(TA[[#This Row],[Fault Acknowledgement Time ]]-TA[[#This Row],[Fault Time]])*24)</f>
        <v>0</v>
      </c>
      <c r="AB1678" s="35">
        <f>(TA[[#This Row],[Work Start time on Fault]]-TA[[#This Row],[Fault Time]])*24</f>
        <v>0</v>
      </c>
      <c r="AC1678" s="34">
        <f>(TA[[#This Row],[Work Completion time on fault]]-TA[[#This Row],[Fault Time]])*24</f>
        <v>0</v>
      </c>
      <c r="AD1678" s="35">
        <f>IFERROR((TA[[#This Row],[Work Completion time on fault]]-TA[[#This Row],[Fault Time]])*24,"")</f>
        <v>0</v>
      </c>
      <c r="AE1678" t="s">
        <v>328</v>
      </c>
      <c r="AF1678" t="s">
        <v>256</v>
      </c>
      <c r="AG1678" s="2"/>
      <c r="AH1678" s="44">
        <f>1-COS(RADIANS(TA[[#This Row],[Avg. Target Angle during Fault Time (Radians)]]-TA[[#This Row],[Angle of affected equipment ]]))</f>
        <v>0.11705240714107301</v>
      </c>
      <c r="AI1678" s="35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56">
        <f t="shared" si="210"/>
        <v>2026</v>
      </c>
      <c r="C1679" s="129">
        <f t="shared" si="211"/>
        <v>2025</v>
      </c>
      <c r="D1679" s="2" t="s">
        <v>155</v>
      </c>
      <c r="E1679" s="2" t="s">
        <v>155</v>
      </c>
      <c r="F1679" s="39">
        <v>45839</v>
      </c>
      <c r="G1679" s="2">
        <f>DAY(EOMONTH(TA[[#This Row],[Month Year]],0))</f>
        <v>31</v>
      </c>
      <c r="H1679" s="21">
        <v>45865</v>
      </c>
      <c r="I1679" s="41">
        <f>IFERROR(VLOOKUP(TA[[#This Row],[Date]],Raw_Data[[Date]:[Sunset Time (POA&lt;20 W/m2)]],3,0),"")</f>
        <v>0.2590277777777778</v>
      </c>
      <c r="J1679" s="41">
        <f>IFERROR(VLOOKUP(TA[[#This Row],[Date]],Raw_Data[[Date]:[Sunset Time (POA&lt;20 W/m2)]],4,0),"")</f>
        <v>0.78402777777777777</v>
      </c>
      <c r="K1679" s="35">
        <f>IFERROR((TA[[#This Row],[Sunset Time (POA&lt;20 W/m2)]]-TA[[#This Row],[Sunrise Time (POA&gt;20 W/m2)]])*24,"")</f>
        <v>12.599999999999998</v>
      </c>
      <c r="L1679" s="2" t="s">
        <v>312</v>
      </c>
      <c r="M1679" s="42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330</v>
      </c>
      <c r="Q1679" s="2" t="s">
        <v>323</v>
      </c>
      <c r="R1679">
        <v>26</v>
      </c>
      <c r="S1679" s="2">
        <v>37</v>
      </c>
      <c r="T1679" t="s">
        <v>297</v>
      </c>
      <c r="U1679" t="s">
        <v>300</v>
      </c>
      <c r="V1679" t="s">
        <v>301</v>
      </c>
      <c r="W1679" s="41"/>
      <c r="X1679" s="41"/>
      <c r="Y1679" s="34"/>
      <c r="Z1679" s="34"/>
      <c r="AA1679" s="35">
        <f>IF(TA[[#This Row],[Work Start time on Fault]]="NA","",(TA[[#This Row],[Fault Acknowledgement Time ]]-TA[[#This Row],[Fault Time]])*24)</f>
        <v>0</v>
      </c>
      <c r="AB1679" s="35">
        <f>(TA[[#This Row],[Work Start time on Fault]]-TA[[#This Row],[Fault Time]])*24</f>
        <v>0</v>
      </c>
      <c r="AC1679" s="34">
        <f>(TA[[#This Row],[Work Completion time on fault]]-TA[[#This Row],[Fault Time]])*24</f>
        <v>0</v>
      </c>
      <c r="AD1679" s="35">
        <f>IFERROR((TA[[#This Row],[Work Completion time on fault]]-TA[[#This Row],[Fault Time]])*24,"")</f>
        <v>0</v>
      </c>
      <c r="AE1679" t="s">
        <v>328</v>
      </c>
      <c r="AF1679" t="s">
        <v>256</v>
      </c>
      <c r="AG1679" s="2"/>
      <c r="AH1679" s="44">
        <f>1-COS(RADIANS(TA[[#This Row],[Avg. Target Angle during Fault Time (Radians)]]-TA[[#This Row],[Angle of affected equipment ]]))</f>
        <v>0.11705240714107301</v>
      </c>
      <c r="AI1679" s="35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56">
        <f t="shared" si="210"/>
        <v>2026</v>
      </c>
      <c r="C1680" s="129">
        <f t="shared" si="211"/>
        <v>2025</v>
      </c>
      <c r="D1680" s="2" t="s">
        <v>155</v>
      </c>
      <c r="E1680" s="2" t="s">
        <v>155</v>
      </c>
      <c r="F1680" s="39">
        <v>45839</v>
      </c>
      <c r="G1680" s="2">
        <f>DAY(EOMONTH(TA[[#This Row],[Month Year]],0))</f>
        <v>31</v>
      </c>
      <c r="H1680" s="21">
        <v>45865</v>
      </c>
      <c r="I1680" s="41">
        <f>IFERROR(VLOOKUP(TA[[#This Row],[Date]],Raw_Data[[Date]:[Sunset Time (POA&lt;20 W/m2)]],3,0),"")</f>
        <v>0.2590277777777778</v>
      </c>
      <c r="J1680" s="41">
        <f>IFERROR(VLOOKUP(TA[[#This Row],[Date]],Raw_Data[[Date]:[Sunset Time (POA&lt;20 W/m2)]],4,0),"")</f>
        <v>0.78402777777777777</v>
      </c>
      <c r="K1680" s="35">
        <f>IFERROR((TA[[#This Row],[Sunset Time (POA&lt;20 W/m2)]]-TA[[#This Row],[Sunrise Time (POA&gt;20 W/m2)]])*24,"")</f>
        <v>12.599999999999998</v>
      </c>
      <c r="L1680" s="2" t="s">
        <v>312</v>
      </c>
      <c r="M1680" s="42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330</v>
      </c>
      <c r="Q1680" s="2" t="s">
        <v>323</v>
      </c>
      <c r="R1680">
        <v>27</v>
      </c>
      <c r="S1680" s="2">
        <v>42</v>
      </c>
      <c r="T1680" t="s">
        <v>297</v>
      </c>
      <c r="U1680" t="s">
        <v>300</v>
      </c>
      <c r="V1680" t="s">
        <v>301</v>
      </c>
      <c r="W1680" s="41">
        <f>IFERROR(VLOOKUP(TA[[#This Row],[Date]],Raw_Data[[Date]:[Sunset Time (POA&lt;20 W/m2)]],3,0),"")</f>
        <v>0.2590277777777778</v>
      </c>
      <c r="X1680" s="41">
        <f>IFERROR(VLOOKUP(TA[[#This Row],[Date]],Raw_Data[[Date]:[Sunset Time (POA&lt;20 W/m2)]],3,0),"")</f>
        <v>0.2590277777777778</v>
      </c>
      <c r="Y1680" s="34"/>
      <c r="Z1680" s="34">
        <v>0.76041666666666663</v>
      </c>
      <c r="AA1680" s="35">
        <f>IF(TA[[#This Row],[Work Start time on Fault]]="NA","",(TA[[#This Row],[Fault Acknowledgement Time ]]-TA[[#This Row],[Fault Time]])*24)</f>
        <v>0</v>
      </c>
      <c r="AB1680" s="35">
        <f>(TA[[#This Row],[Work Start time on Fault]]-TA[[#This Row],[Fault Time]])*24</f>
        <v>-6.2166666666666668</v>
      </c>
      <c r="AC1680" s="34">
        <f>(TA[[#This Row],[Work Completion time on fault]]-TA[[#This Row],[Fault Time]])*24</f>
        <v>12.033333333333333</v>
      </c>
      <c r="AD1680" s="35">
        <f>IFERROR((TA[[#This Row],[Work Completion time on fault]]-TA[[#This Row],[Fault Time]])*24,"")</f>
        <v>12.033333333333333</v>
      </c>
      <c r="AE1680" t="s">
        <v>309</v>
      </c>
      <c r="AF1680" t="s">
        <v>256</v>
      </c>
      <c r="AG1680" s="2"/>
      <c r="AH1680" s="44">
        <f>1-COS(RADIANS(TA[[#This Row],[Avg. Target Angle during Fault Time (Radians)]]-TA[[#This Row],[Angle of affected equipment ]]))</f>
        <v>0.11705240714107301</v>
      </c>
      <c r="AI1680" s="35">
        <f>IFERROR(TA[[#This Row],[Breakdown Time]]*TA[[#This Row],[Plant Equivalent Weightage]],"")</f>
        <v>6.9157088122605376E-2</v>
      </c>
    </row>
    <row r="1681" spans="1:35">
      <c r="A1681" s="2">
        <f t="shared" si="209"/>
        <v>1678</v>
      </c>
      <c r="B1681" s="156">
        <f t="shared" ref="B1681:B1693" si="212">YEAR(H1681)+IF(MONTH(H1681)&gt;=4,1,0)</f>
        <v>2026</v>
      </c>
      <c r="C1681" s="129">
        <f t="shared" ref="C1681:C1693" si="213">YEAR(H1681)</f>
        <v>2025</v>
      </c>
      <c r="D1681" s="2" t="s">
        <v>155</v>
      </c>
      <c r="E1681" s="2" t="s">
        <v>155</v>
      </c>
      <c r="F1681" s="39">
        <v>45839</v>
      </c>
      <c r="G1681" s="2">
        <f>DAY(EOMONTH(TA[[#This Row],[Month Year]],0))</f>
        <v>31</v>
      </c>
      <c r="H1681" s="21">
        <v>45866</v>
      </c>
      <c r="I1681" s="41">
        <f>IFERROR(VLOOKUP(TA[[#This Row],[Date]],Raw_Data[[Date]:[Sunset Time (POA&lt;20 W/m2)]],3,0),"")</f>
        <v>0.25624999999999998</v>
      </c>
      <c r="J1681" s="41">
        <f>IFERROR(VLOOKUP(TA[[#This Row],[Date]],Raw_Data[[Date]:[Sunset Time (POA&lt;20 W/m2)]],4,0),"")</f>
        <v>0.76944444444444449</v>
      </c>
      <c r="K1681" s="35">
        <f>IFERROR((TA[[#This Row],[Sunset Time (POA&lt;20 W/m2)]]-TA[[#This Row],[Sunrise Time (POA&gt;20 W/m2)]])*24,"")</f>
        <v>12.316666666666668</v>
      </c>
      <c r="L1681" s="2" t="s">
        <v>294</v>
      </c>
      <c r="M1681" s="42">
        <f>IFERROR(VLOOKUP(TA[[#This Row],[Affected Equipment]],'Basic Data'!$I$2:$K$40,3,0),"")</f>
        <v>1.7241379310344799E-3</v>
      </c>
      <c r="N1681">
        <v>-28</v>
      </c>
      <c r="O1681" t="s">
        <v>135</v>
      </c>
      <c r="P1681" s="127" t="s">
        <v>318</v>
      </c>
      <c r="Q1681" s="126" t="s">
        <v>318</v>
      </c>
      <c r="R1681">
        <v>131</v>
      </c>
      <c r="S1681" s="2">
        <v>38</v>
      </c>
      <c r="T1681" t="s">
        <v>295</v>
      </c>
      <c r="U1681" t="s">
        <v>300</v>
      </c>
      <c r="V1681" t="s">
        <v>298</v>
      </c>
      <c r="W1681" s="41"/>
      <c r="X1681" s="41"/>
      <c r="Y1681" s="34"/>
      <c r="Z1681" s="34"/>
      <c r="AA1681" s="35">
        <f>IF(TA[[#This Row],[Work Start time on Fault]]="NA","",(TA[[#This Row],[Fault Acknowledgement Time ]]-TA[[#This Row],[Fault Time]])*24)</f>
        <v>0</v>
      </c>
      <c r="AB1681" s="35">
        <f>(TA[[#This Row],[Work Start time on Fault]]-TA[[#This Row],[Fault Time]])*24</f>
        <v>0</v>
      </c>
      <c r="AC1681" s="34">
        <f>(TA[[#This Row],[Work Completion time on fault]]-TA[[#This Row],[Fault Time]])*24</f>
        <v>0</v>
      </c>
      <c r="AD1681" s="35">
        <f>IFERROR((TA[[#This Row],[Work Completion time on fault]]-TA[[#This Row],[Fault Time]])*24,"")</f>
        <v>0</v>
      </c>
      <c r="AE1681" t="s">
        <v>328</v>
      </c>
      <c r="AF1681" t="s">
        <v>256</v>
      </c>
      <c r="AG1681" s="2"/>
      <c r="AH1681" s="44">
        <f>1-COS(RADIANS(TA[[#This Row],[Avg. Target Angle during Fault Time (Radians)]]-TA[[#This Row],[Angle of affected equipment ]]))</f>
        <v>0.11705240714107301</v>
      </c>
      <c r="AI1681" s="35">
        <f>IFERROR(TA[[#This Row],[Breakdown Time]]*TA[[#This Row],[Plant Equivalent Weightage]],"")</f>
        <v>0</v>
      </c>
    </row>
    <row r="1682" spans="1:35">
      <c r="A1682" s="2">
        <f t="shared" si="209"/>
        <v>1679</v>
      </c>
      <c r="B1682" s="156">
        <f t="shared" si="212"/>
        <v>2026</v>
      </c>
      <c r="C1682" s="129">
        <f t="shared" si="213"/>
        <v>2025</v>
      </c>
      <c r="D1682" s="2" t="s">
        <v>155</v>
      </c>
      <c r="E1682" s="2" t="s">
        <v>155</v>
      </c>
      <c r="F1682" s="39">
        <v>45839</v>
      </c>
      <c r="G1682" s="2">
        <f>DAY(EOMONTH(TA[[#This Row],[Month Year]],0))</f>
        <v>31</v>
      </c>
      <c r="H1682" s="21">
        <v>45866</v>
      </c>
      <c r="I1682" s="41">
        <f>IFERROR(VLOOKUP(TA[[#This Row],[Date]],Raw_Data[[Date]:[Sunset Time (POA&lt;20 W/m2)]],3,0),"")</f>
        <v>0.25624999999999998</v>
      </c>
      <c r="J1682" s="41">
        <f>IFERROR(VLOOKUP(TA[[#This Row],[Date]],Raw_Data[[Date]:[Sunset Time (POA&lt;20 W/m2)]],4,0),"")</f>
        <v>0.76944444444444449</v>
      </c>
      <c r="K1682" s="35">
        <f>IFERROR((TA[[#This Row],[Sunset Time (POA&lt;20 W/m2)]]-TA[[#This Row],[Sunrise Time (POA&gt;20 W/m2)]])*24,"")</f>
        <v>12.316666666666668</v>
      </c>
      <c r="L1682" s="2" t="s">
        <v>294</v>
      </c>
      <c r="M1682" s="42">
        <f>IFERROR(VLOOKUP(TA[[#This Row],[Affected Equipment]],'Basic Data'!$I$2:$K$40,3,0),"")</f>
        <v>1.7241379310344799E-3</v>
      </c>
      <c r="N1682">
        <v>-28</v>
      </c>
      <c r="O1682" t="s">
        <v>135</v>
      </c>
      <c r="P1682" s="127" t="s">
        <v>318</v>
      </c>
      <c r="Q1682" s="126" t="s">
        <v>318</v>
      </c>
      <c r="R1682">
        <v>131</v>
      </c>
      <c r="S1682" s="2">
        <v>39</v>
      </c>
      <c r="T1682" t="s">
        <v>295</v>
      </c>
      <c r="U1682" t="s">
        <v>300</v>
      </c>
      <c r="V1682" t="s">
        <v>298</v>
      </c>
      <c r="W1682" s="41"/>
      <c r="X1682" s="41"/>
      <c r="Y1682" s="34"/>
      <c r="Z1682" s="34"/>
      <c r="AA1682" s="35">
        <f>IF(TA[[#This Row],[Work Start time on Fault]]="NA","",(TA[[#This Row],[Fault Acknowledgement Time ]]-TA[[#This Row],[Fault Time]])*24)</f>
        <v>0</v>
      </c>
      <c r="AB1682" s="35">
        <f>(TA[[#This Row],[Work Start time on Fault]]-TA[[#This Row],[Fault Time]])*24</f>
        <v>0</v>
      </c>
      <c r="AC1682" s="34">
        <f>(TA[[#This Row],[Work Completion time on fault]]-TA[[#This Row],[Fault Time]])*24</f>
        <v>0</v>
      </c>
      <c r="AD1682" s="35">
        <f>IFERROR((TA[[#This Row],[Work Completion time on fault]]-TA[[#This Row],[Fault Time]])*24,"")</f>
        <v>0</v>
      </c>
      <c r="AE1682" t="s">
        <v>328</v>
      </c>
      <c r="AF1682" t="s">
        <v>256</v>
      </c>
      <c r="AG1682" s="2"/>
      <c r="AH1682" s="44">
        <f>1-COS(RADIANS(TA[[#This Row],[Avg. Target Angle during Fault Time (Radians)]]-TA[[#This Row],[Angle of affected equipment ]]))</f>
        <v>0.11705240714107301</v>
      </c>
      <c r="AI1682" s="35">
        <f>IFERROR(TA[[#This Row],[Breakdown Time]]*TA[[#This Row],[Plant Equivalent Weightage]],"")</f>
        <v>0</v>
      </c>
    </row>
    <row r="1683" spans="1:35">
      <c r="A1683" s="2">
        <f t="shared" si="209"/>
        <v>1680</v>
      </c>
      <c r="B1683" s="156">
        <f t="shared" si="212"/>
        <v>2026</v>
      </c>
      <c r="C1683" s="129">
        <f t="shared" si="213"/>
        <v>2025</v>
      </c>
      <c r="D1683" s="2" t="s">
        <v>155</v>
      </c>
      <c r="E1683" s="2" t="s">
        <v>155</v>
      </c>
      <c r="F1683" s="39">
        <v>45839</v>
      </c>
      <c r="G1683" s="2">
        <f>DAY(EOMONTH(TA[[#This Row],[Month Year]],0))</f>
        <v>31</v>
      </c>
      <c r="H1683" s="21">
        <v>45866</v>
      </c>
      <c r="I1683" s="41">
        <f>IFERROR(VLOOKUP(TA[[#This Row],[Date]],Raw_Data[[Date]:[Sunset Time (POA&lt;20 W/m2)]],3,0),"")</f>
        <v>0.25624999999999998</v>
      </c>
      <c r="J1683" s="41">
        <f>IFERROR(VLOOKUP(TA[[#This Row],[Date]],Raw_Data[[Date]:[Sunset Time (POA&lt;20 W/m2)]],4,0),"")</f>
        <v>0.76944444444444449</v>
      </c>
      <c r="K1683" s="35">
        <f>IFERROR((TA[[#This Row],[Sunset Time (POA&lt;20 W/m2)]]-TA[[#This Row],[Sunrise Time (POA&gt;20 W/m2)]])*24,"")</f>
        <v>12.316666666666668</v>
      </c>
      <c r="L1683" s="2" t="s">
        <v>296</v>
      </c>
      <c r="M1683" s="42">
        <f>IFERROR(VLOOKUP(TA[[#This Row],[Affected Equipment]],'Basic Data'!$I$2:$K$40,3,0),"")</f>
        <v>8.6206896551724102E-3</v>
      </c>
      <c r="N1683">
        <v>-28</v>
      </c>
      <c r="O1683" t="s">
        <v>135</v>
      </c>
      <c r="P1683" s="127" t="s">
        <v>318</v>
      </c>
      <c r="Q1683" s="2" t="s">
        <v>321</v>
      </c>
      <c r="R1683">
        <v>133</v>
      </c>
      <c r="S1683" s="2">
        <v>26</v>
      </c>
      <c r="T1683" t="s">
        <v>297</v>
      </c>
      <c r="U1683" t="s">
        <v>300</v>
      </c>
      <c r="V1683" t="s">
        <v>314</v>
      </c>
      <c r="W1683" s="41">
        <f>IFERROR(VLOOKUP(TA[[#This Row],[Date]],Raw_Data[[Date]:[Sunset Time (POA&lt;20 W/m2)]],3,0),"")</f>
        <v>0.25624999999999998</v>
      </c>
      <c r="X1683" s="41">
        <f>IFERROR(VLOOKUP(TA[[#This Row],[Date]],Raw_Data[[Date]:[Sunset Time (POA&lt;20 W/m2)]],3,0),"")</f>
        <v>0.25624999999999998</v>
      </c>
      <c r="Y1683" s="34"/>
      <c r="Z1683" s="34">
        <v>0.76041666666666663</v>
      </c>
      <c r="AA1683" s="35">
        <f>IF(TA[[#This Row],[Work Start time on Fault]]="NA","",(TA[[#This Row],[Fault Acknowledgement Time ]]-TA[[#This Row],[Fault Time]])*24)</f>
        <v>0</v>
      </c>
      <c r="AB1683" s="35">
        <f>(TA[[#This Row],[Work Start time on Fault]]-TA[[#This Row],[Fault Time]])*24</f>
        <v>-6.1499999999999995</v>
      </c>
      <c r="AC1683" s="34">
        <f>(TA[[#This Row],[Work Completion time on fault]]-TA[[#This Row],[Fault Time]])*24</f>
        <v>12.1</v>
      </c>
      <c r="AD1683" s="35">
        <f>IFERROR((TA[[#This Row],[Work Completion time on fault]]-TA[[#This Row],[Fault Time]])*24,"")</f>
        <v>12.1</v>
      </c>
      <c r="AE1683" t="s">
        <v>328</v>
      </c>
      <c r="AF1683" t="s">
        <v>256</v>
      </c>
      <c r="AG1683" s="2"/>
      <c r="AH1683" s="44">
        <f>1-COS(RADIANS(TA[[#This Row],[Avg. Target Angle during Fault Time (Radians)]]-TA[[#This Row],[Angle of affected equipment ]]))</f>
        <v>0.11705240714107301</v>
      </c>
      <c r="AI1683" s="35">
        <f>IFERROR(TA[[#This Row],[Breakdown Time]]*TA[[#This Row],[Plant Equivalent Weightage]],"")</f>
        <v>0.10431034482758617</v>
      </c>
    </row>
    <row r="1684" spans="1:35">
      <c r="A1684" s="2">
        <f t="shared" si="209"/>
        <v>1681</v>
      </c>
      <c r="B1684" s="156">
        <f t="shared" si="212"/>
        <v>2026</v>
      </c>
      <c r="C1684" s="129">
        <f t="shared" si="213"/>
        <v>2025</v>
      </c>
      <c r="D1684" s="2" t="s">
        <v>155</v>
      </c>
      <c r="E1684" s="2" t="s">
        <v>155</v>
      </c>
      <c r="F1684" s="39">
        <v>45839</v>
      </c>
      <c r="G1684" s="2">
        <f>DAY(EOMONTH(TA[[#This Row],[Month Year]],0))</f>
        <v>31</v>
      </c>
      <c r="H1684" s="21">
        <v>45866</v>
      </c>
      <c r="I1684" s="41">
        <f>IFERROR(VLOOKUP(TA[[#This Row],[Date]],Raw_Data[[Date]:[Sunset Time (POA&lt;20 W/m2)]],3,0),"")</f>
        <v>0.25624999999999998</v>
      </c>
      <c r="J1684" s="41">
        <f>IFERROR(VLOOKUP(TA[[#This Row],[Date]],Raw_Data[[Date]:[Sunset Time (POA&lt;20 W/m2)]],4,0),"")</f>
        <v>0.76944444444444449</v>
      </c>
      <c r="K1684" s="35">
        <f>IFERROR((TA[[#This Row],[Sunset Time (POA&lt;20 W/m2)]]-TA[[#This Row],[Sunrise Time (POA&gt;20 W/m2)]])*24,"")</f>
        <v>12.316666666666668</v>
      </c>
      <c r="L1684" s="2" t="s">
        <v>294</v>
      </c>
      <c r="M1684" s="42">
        <f>IFERROR(VLOOKUP(TA[[#This Row],[Affected Equipment]],'Basic Data'!$I$2:$K$40,3,0),"")</f>
        <v>1.7241379310344799E-3</v>
      </c>
      <c r="N1684">
        <v>-28</v>
      </c>
      <c r="O1684" t="s">
        <v>133</v>
      </c>
      <c r="P1684" s="127" t="s">
        <v>316</v>
      </c>
      <c r="Q1684" s="126" t="s">
        <v>317</v>
      </c>
      <c r="R1684">
        <v>7</v>
      </c>
      <c r="S1684" s="2">
        <v>32</v>
      </c>
      <c r="T1684" t="s">
        <v>295</v>
      </c>
      <c r="U1684" t="s">
        <v>300</v>
      </c>
      <c r="V1684" t="s">
        <v>298</v>
      </c>
      <c r="W1684" s="41"/>
      <c r="X1684" s="41"/>
      <c r="Y1684" s="34"/>
      <c r="Z1684" s="34"/>
      <c r="AA1684" s="35">
        <f>IF(TA[[#This Row],[Work Start time on Fault]]="NA","",(TA[[#This Row],[Fault Acknowledgement Time ]]-TA[[#This Row],[Fault Time]])*24)</f>
        <v>0</v>
      </c>
      <c r="AB1684" s="35">
        <f>(TA[[#This Row],[Work Start time on Fault]]-TA[[#This Row],[Fault Time]])*24</f>
        <v>0</v>
      </c>
      <c r="AC1684" s="34">
        <f>(TA[[#This Row],[Work Completion time on fault]]-TA[[#This Row],[Fault Time]])*24</f>
        <v>0</v>
      </c>
      <c r="AD1684" s="35">
        <f>IFERROR((TA[[#This Row],[Work Completion time on fault]]-TA[[#This Row],[Fault Time]])*24,"")</f>
        <v>0</v>
      </c>
      <c r="AE1684" t="s">
        <v>328</v>
      </c>
      <c r="AF1684" t="s">
        <v>256</v>
      </c>
      <c r="AG1684" s="2"/>
      <c r="AH1684" s="44">
        <f>1-COS(RADIANS(TA[[#This Row],[Avg. Target Angle during Fault Time (Radians)]]-TA[[#This Row],[Angle of affected equipment ]]))</f>
        <v>0.11705240714107301</v>
      </c>
      <c r="AI1684" s="35">
        <f>IFERROR(TA[[#This Row],[Breakdown Time]]*TA[[#This Row],[Plant Equivalent Weightage]],"")</f>
        <v>0</v>
      </c>
    </row>
    <row r="1685" spans="1:35">
      <c r="A1685" s="2">
        <f t="shared" si="209"/>
        <v>1682</v>
      </c>
      <c r="B1685" s="156">
        <f t="shared" si="212"/>
        <v>2026</v>
      </c>
      <c r="C1685" s="129">
        <f t="shared" si="213"/>
        <v>2025</v>
      </c>
      <c r="D1685" s="2" t="s">
        <v>155</v>
      </c>
      <c r="E1685" s="2" t="s">
        <v>155</v>
      </c>
      <c r="F1685" s="39">
        <v>45839</v>
      </c>
      <c r="G1685" s="2">
        <f>DAY(EOMONTH(TA[[#This Row],[Month Year]],0))</f>
        <v>31</v>
      </c>
      <c r="H1685" s="21">
        <v>45866</v>
      </c>
      <c r="I1685" s="41">
        <f>IFERROR(VLOOKUP(TA[[#This Row],[Date]],Raw_Data[[Date]:[Sunset Time (POA&lt;20 W/m2)]],3,0),"")</f>
        <v>0.25624999999999998</v>
      </c>
      <c r="J1685" s="41">
        <f>IFERROR(VLOOKUP(TA[[#This Row],[Date]],Raw_Data[[Date]:[Sunset Time (POA&lt;20 W/m2)]],4,0),"")</f>
        <v>0.76944444444444449</v>
      </c>
      <c r="K1685" s="35">
        <f>IFERROR((TA[[#This Row],[Sunset Time (POA&lt;20 W/m2)]]-TA[[#This Row],[Sunrise Time (POA&gt;20 W/m2)]])*24,"")</f>
        <v>12.316666666666668</v>
      </c>
      <c r="L1685" s="2" t="s">
        <v>294</v>
      </c>
      <c r="M1685" s="42">
        <f>IFERROR(VLOOKUP(TA[[#This Row],[Affected Equipment]],'Basic Data'!$I$2:$K$40,3,0),"")</f>
        <v>1.7241379310344799E-3</v>
      </c>
      <c r="N1685">
        <v>-28</v>
      </c>
      <c r="O1685" t="s">
        <v>137</v>
      </c>
      <c r="P1685" s="127" t="s">
        <v>315</v>
      </c>
      <c r="Q1685" s="126" t="s">
        <v>319</v>
      </c>
      <c r="R1685">
        <v>166</v>
      </c>
      <c r="S1685" s="2">
        <v>91</v>
      </c>
      <c r="T1685" t="s">
        <v>295</v>
      </c>
      <c r="U1685" t="s">
        <v>300</v>
      </c>
      <c r="V1685" t="s">
        <v>298</v>
      </c>
      <c r="W1685" s="41"/>
      <c r="X1685" s="41"/>
      <c r="Y1685" s="34"/>
      <c r="Z1685" s="34"/>
      <c r="AA1685" s="35">
        <f>IF(TA[[#This Row],[Work Start time on Fault]]="NA","",(TA[[#This Row],[Fault Acknowledgement Time ]]-TA[[#This Row],[Fault Time]])*24)</f>
        <v>0</v>
      </c>
      <c r="AB1685" s="35">
        <f>(TA[[#This Row],[Work Start time on Fault]]-TA[[#This Row],[Fault Time]])*24</f>
        <v>0</v>
      </c>
      <c r="AC1685" s="34">
        <f>(TA[[#This Row],[Work Completion time on fault]]-TA[[#This Row],[Fault Time]])*24</f>
        <v>0</v>
      </c>
      <c r="AD1685" s="35">
        <f>IFERROR((TA[[#This Row],[Work Completion time on fault]]-TA[[#This Row],[Fault Time]])*24,"")</f>
        <v>0</v>
      </c>
      <c r="AE1685" t="s">
        <v>328</v>
      </c>
      <c r="AF1685" t="s">
        <v>256</v>
      </c>
      <c r="AG1685" s="2"/>
      <c r="AH1685" s="44">
        <f>1-COS(RADIANS(TA[[#This Row],[Avg. Target Angle during Fault Time (Radians)]]-TA[[#This Row],[Angle of affected equipment ]]))</f>
        <v>0.11705240714107301</v>
      </c>
      <c r="AI1685" s="35">
        <f>IFERROR(TA[[#This Row],[Breakdown Time]]*TA[[#This Row],[Plant Equivalent Weightage]],"")</f>
        <v>0</v>
      </c>
    </row>
    <row r="1686" spans="1:35">
      <c r="A1686" s="2">
        <f t="shared" si="209"/>
        <v>1683</v>
      </c>
      <c r="B1686" s="156">
        <f t="shared" si="212"/>
        <v>2026</v>
      </c>
      <c r="C1686" s="129">
        <f t="shared" si="213"/>
        <v>2025</v>
      </c>
      <c r="D1686" s="2" t="s">
        <v>155</v>
      </c>
      <c r="E1686" s="2" t="s">
        <v>155</v>
      </c>
      <c r="F1686" s="39">
        <v>45839</v>
      </c>
      <c r="G1686" s="2">
        <f>DAY(EOMONTH(TA[[#This Row],[Month Year]],0))</f>
        <v>31</v>
      </c>
      <c r="H1686" s="21">
        <v>45866</v>
      </c>
      <c r="I1686" s="41">
        <f>IFERROR(VLOOKUP(TA[[#This Row],[Date]],Raw_Data[[Date]:[Sunset Time (POA&lt;20 W/m2)]],3,0),"")</f>
        <v>0.25624999999999998</v>
      </c>
      <c r="J1686" s="41">
        <f>IFERROR(VLOOKUP(TA[[#This Row],[Date]],Raw_Data[[Date]:[Sunset Time (POA&lt;20 W/m2)]],4,0),"")</f>
        <v>0.76944444444444449</v>
      </c>
      <c r="K1686" s="35">
        <f>IFERROR((TA[[#This Row],[Sunset Time (POA&lt;20 W/m2)]]-TA[[#This Row],[Sunrise Time (POA&gt;20 W/m2)]])*24,"")</f>
        <v>12.316666666666668</v>
      </c>
      <c r="L1686" s="2" t="s">
        <v>294</v>
      </c>
      <c r="M1686" s="42">
        <f>IFERROR(VLOOKUP(TA[[#This Row],[Affected Equipment]],'Basic Data'!$I$2:$K$40,3,0),"")</f>
        <v>1.7241379310344799E-3</v>
      </c>
      <c r="N1686">
        <v>-28</v>
      </c>
      <c r="O1686" t="s">
        <v>133</v>
      </c>
      <c r="P1686" s="127" t="s">
        <v>316</v>
      </c>
      <c r="Q1686" s="126" t="s">
        <v>316</v>
      </c>
      <c r="R1686">
        <v>117</v>
      </c>
      <c r="S1686" s="2">
        <v>20</v>
      </c>
      <c r="T1686" t="s">
        <v>295</v>
      </c>
      <c r="U1686" t="s">
        <v>300</v>
      </c>
      <c r="V1686" t="s">
        <v>298</v>
      </c>
      <c r="W1686" s="41"/>
      <c r="X1686" s="41"/>
      <c r="Y1686" s="34"/>
      <c r="Z1686" s="34"/>
      <c r="AA1686" s="35">
        <f>IF(TA[[#This Row],[Work Start time on Fault]]="NA","",(TA[[#This Row],[Fault Acknowledgement Time ]]-TA[[#This Row],[Fault Time]])*24)</f>
        <v>0</v>
      </c>
      <c r="AB1686" s="35">
        <f>(TA[[#This Row],[Work Start time on Fault]]-TA[[#This Row],[Fault Time]])*24</f>
        <v>0</v>
      </c>
      <c r="AC1686" s="34">
        <f>(TA[[#This Row],[Work Completion time on fault]]-TA[[#This Row],[Fault Time]])*24</f>
        <v>0</v>
      </c>
      <c r="AD1686" s="35">
        <f>IFERROR((TA[[#This Row],[Work Completion time on fault]]-TA[[#This Row],[Fault Time]])*24,"")</f>
        <v>0</v>
      </c>
      <c r="AE1686" t="s">
        <v>328</v>
      </c>
      <c r="AF1686" t="s">
        <v>256</v>
      </c>
      <c r="AG1686" s="2"/>
      <c r="AH1686" s="44">
        <f>1-COS(RADIANS(TA[[#This Row],[Avg. Target Angle during Fault Time (Radians)]]-TA[[#This Row],[Angle of affected equipment ]]))</f>
        <v>0.11705240714107301</v>
      </c>
      <c r="AI1686" s="35">
        <f>IFERROR(TA[[#This Row],[Breakdown Time]]*TA[[#This Row],[Plant Equivalent Weightage]],"")</f>
        <v>0</v>
      </c>
    </row>
    <row r="1687" spans="1:35">
      <c r="A1687" s="2">
        <f t="shared" si="209"/>
        <v>1684</v>
      </c>
      <c r="B1687" s="156">
        <f t="shared" si="212"/>
        <v>2026</v>
      </c>
      <c r="C1687" s="129">
        <f t="shared" si="213"/>
        <v>2025</v>
      </c>
      <c r="D1687" s="2" t="s">
        <v>155</v>
      </c>
      <c r="E1687" s="2" t="s">
        <v>155</v>
      </c>
      <c r="F1687" s="39">
        <v>45839</v>
      </c>
      <c r="G1687" s="2">
        <f>DAY(EOMONTH(TA[[#This Row],[Month Year]],0))</f>
        <v>31</v>
      </c>
      <c r="H1687" s="21">
        <v>45866</v>
      </c>
      <c r="I1687" s="41">
        <f>IFERROR(VLOOKUP(TA[[#This Row],[Date]],Raw_Data[[Date]:[Sunset Time (POA&lt;20 W/m2)]],3,0),"")</f>
        <v>0.25624999999999998</v>
      </c>
      <c r="J1687" s="41">
        <f>IFERROR(VLOOKUP(TA[[#This Row],[Date]],Raw_Data[[Date]:[Sunset Time (POA&lt;20 W/m2)]],4,0),"")</f>
        <v>0.76944444444444449</v>
      </c>
      <c r="K1687" s="35">
        <f>IFERROR((TA[[#This Row],[Sunset Time (POA&lt;20 W/m2)]]-TA[[#This Row],[Sunrise Time (POA&gt;20 W/m2)]])*24,"")</f>
        <v>12.316666666666668</v>
      </c>
      <c r="L1687" s="2" t="s">
        <v>294</v>
      </c>
      <c r="M1687" s="42">
        <f>IFERROR(VLOOKUP(TA[[#This Row],[Affected Equipment]],'Basic Data'!$I$2:$K$40,3,0),"")</f>
        <v>1.7241379310344799E-3</v>
      </c>
      <c r="N1687">
        <v>-28</v>
      </c>
      <c r="O1687" t="s">
        <v>133</v>
      </c>
      <c r="P1687" s="127" t="s">
        <v>316</v>
      </c>
      <c r="Q1687" s="126" t="s">
        <v>316</v>
      </c>
      <c r="R1687">
        <v>118</v>
      </c>
      <c r="S1687" s="2">
        <v>22</v>
      </c>
      <c r="T1687" t="s">
        <v>295</v>
      </c>
      <c r="U1687" t="s">
        <v>300</v>
      </c>
      <c r="V1687" t="s">
        <v>298</v>
      </c>
      <c r="W1687" s="41"/>
      <c r="X1687" s="41"/>
      <c r="Y1687" s="34"/>
      <c r="Z1687" s="34"/>
      <c r="AA1687" s="35">
        <f>IF(TA[[#This Row],[Work Start time on Fault]]="NA","",(TA[[#This Row],[Fault Acknowledgement Time ]]-TA[[#This Row],[Fault Time]])*24)</f>
        <v>0</v>
      </c>
      <c r="AB1687" s="35">
        <f>(TA[[#This Row],[Work Start time on Fault]]-TA[[#This Row],[Fault Time]])*24</f>
        <v>0</v>
      </c>
      <c r="AC1687" s="34">
        <f>(TA[[#This Row],[Work Completion time on fault]]-TA[[#This Row],[Fault Time]])*24</f>
        <v>0</v>
      </c>
      <c r="AD1687" s="35">
        <f>IFERROR((TA[[#This Row],[Work Completion time on fault]]-TA[[#This Row],[Fault Time]])*24,"")</f>
        <v>0</v>
      </c>
      <c r="AE1687" t="s">
        <v>328</v>
      </c>
      <c r="AF1687" t="s">
        <v>256</v>
      </c>
      <c r="AG1687" s="2"/>
      <c r="AH1687" s="44">
        <f>1-COS(RADIANS(TA[[#This Row],[Avg. Target Angle during Fault Time (Radians)]]-TA[[#This Row],[Angle of affected equipment ]]))</f>
        <v>0.11705240714107301</v>
      </c>
      <c r="AI1687" s="35">
        <f>IFERROR(TA[[#This Row],[Breakdown Time]]*TA[[#This Row],[Plant Equivalent Weightage]],"")</f>
        <v>0</v>
      </c>
    </row>
    <row r="1688" spans="1:35">
      <c r="A1688" s="2">
        <f t="shared" si="209"/>
        <v>1685</v>
      </c>
      <c r="B1688" s="156">
        <f t="shared" si="212"/>
        <v>2026</v>
      </c>
      <c r="C1688" s="129">
        <f t="shared" si="213"/>
        <v>2025</v>
      </c>
      <c r="D1688" s="2" t="s">
        <v>155</v>
      </c>
      <c r="E1688" s="2" t="s">
        <v>155</v>
      </c>
      <c r="F1688" s="39">
        <v>45839</v>
      </c>
      <c r="G1688" s="2">
        <f>DAY(EOMONTH(TA[[#This Row],[Month Year]],0))</f>
        <v>31</v>
      </c>
      <c r="H1688" s="21">
        <v>45866</v>
      </c>
      <c r="I1688" s="41">
        <f>IFERROR(VLOOKUP(TA[[#This Row],[Date]],Raw_Data[[Date]:[Sunset Time (POA&lt;20 W/m2)]],3,0),"")</f>
        <v>0.25624999999999998</v>
      </c>
      <c r="J1688" s="41">
        <f>IFERROR(VLOOKUP(TA[[#This Row],[Date]],Raw_Data[[Date]:[Sunset Time (POA&lt;20 W/m2)]],4,0),"")</f>
        <v>0.76944444444444449</v>
      </c>
      <c r="K1688" s="35">
        <f>IFERROR((TA[[#This Row],[Sunset Time (POA&lt;20 W/m2)]]-TA[[#This Row],[Sunrise Time (POA&gt;20 W/m2)]])*24,"")</f>
        <v>12.316666666666668</v>
      </c>
      <c r="L1688" s="2" t="s">
        <v>296</v>
      </c>
      <c r="M1688" s="42">
        <f>IFERROR(VLOOKUP(TA[[#This Row],[Affected Equipment]],'Basic Data'!$I$2:$K$40,3,0),"")</f>
        <v>8.6206896551724102E-3</v>
      </c>
      <c r="N1688">
        <v>-28</v>
      </c>
      <c r="O1688" t="s">
        <v>135</v>
      </c>
      <c r="P1688" s="22" t="s">
        <v>323</v>
      </c>
      <c r="Q1688" s="2" t="s">
        <v>329</v>
      </c>
      <c r="R1688">
        <v>45</v>
      </c>
      <c r="S1688" s="2">
        <v>8</v>
      </c>
      <c r="T1688" t="s">
        <v>297</v>
      </c>
      <c r="U1688" t="s">
        <v>300</v>
      </c>
      <c r="V1688" t="s">
        <v>301</v>
      </c>
      <c r="W1688" s="41"/>
      <c r="X1688" s="41"/>
      <c r="Y1688" s="34"/>
      <c r="Z1688" s="34"/>
      <c r="AA1688" s="35">
        <f>IF(TA[[#This Row],[Work Start time on Fault]]="NA","",(TA[[#This Row],[Fault Acknowledgement Time ]]-TA[[#This Row],[Fault Time]])*24)</f>
        <v>0</v>
      </c>
      <c r="AB1688" s="35">
        <f>(TA[[#This Row],[Work Start time on Fault]]-TA[[#This Row],[Fault Time]])*24</f>
        <v>0</v>
      </c>
      <c r="AC1688" s="34">
        <f>(TA[[#This Row],[Work Completion time on fault]]-TA[[#This Row],[Fault Time]])*24</f>
        <v>0</v>
      </c>
      <c r="AD1688" s="35">
        <f>IFERROR((TA[[#This Row],[Work Completion time on fault]]-TA[[#This Row],[Fault Time]])*24,"")</f>
        <v>0</v>
      </c>
      <c r="AE1688" t="s">
        <v>328</v>
      </c>
      <c r="AF1688" t="s">
        <v>256</v>
      </c>
      <c r="AG1688" s="2"/>
      <c r="AH1688" s="44">
        <f>1-COS(RADIANS(TA[[#This Row],[Avg. Target Angle during Fault Time (Radians)]]-TA[[#This Row],[Angle of affected equipment ]]))</f>
        <v>0.11705240714107301</v>
      </c>
      <c r="AI1688" s="35">
        <f>IFERROR(TA[[#This Row],[Breakdown Time]]*TA[[#This Row],[Plant Equivalent Weightage]],"")</f>
        <v>0</v>
      </c>
    </row>
    <row r="1689" spans="1:35">
      <c r="A1689" s="2">
        <f t="shared" si="209"/>
        <v>1686</v>
      </c>
      <c r="B1689" s="156">
        <f t="shared" si="212"/>
        <v>2026</v>
      </c>
      <c r="C1689" s="129">
        <f t="shared" si="213"/>
        <v>2025</v>
      </c>
      <c r="D1689" s="2" t="s">
        <v>155</v>
      </c>
      <c r="E1689" s="2" t="s">
        <v>155</v>
      </c>
      <c r="F1689" s="39">
        <v>45839</v>
      </c>
      <c r="G1689" s="2">
        <f>DAY(EOMONTH(TA[[#This Row],[Month Year]],0))</f>
        <v>31</v>
      </c>
      <c r="H1689" s="21">
        <v>45866</v>
      </c>
      <c r="I1689" s="41">
        <f>IFERROR(VLOOKUP(TA[[#This Row],[Date]],Raw_Data[[Date]:[Sunset Time (POA&lt;20 W/m2)]],3,0),"")</f>
        <v>0.25624999999999998</v>
      </c>
      <c r="J1689" s="41">
        <f>IFERROR(VLOOKUP(TA[[#This Row],[Date]],Raw_Data[[Date]:[Sunset Time (POA&lt;20 W/m2)]],4,0),"")</f>
        <v>0.76944444444444449</v>
      </c>
      <c r="K1689" s="35">
        <f>IFERROR((TA[[#This Row],[Sunset Time (POA&lt;20 W/m2)]]-TA[[#This Row],[Sunrise Time (POA&gt;20 W/m2)]])*24,"")</f>
        <v>12.316666666666668</v>
      </c>
      <c r="L1689" s="2" t="s">
        <v>296</v>
      </c>
      <c r="M1689" s="42">
        <f>IFERROR(VLOOKUP(TA[[#This Row],[Affected Equipment]],'Basic Data'!$I$2:$K$40,3,0),"")</f>
        <v>8.6206896551724102E-3</v>
      </c>
      <c r="N1689">
        <v>-28</v>
      </c>
      <c r="O1689" t="s">
        <v>135</v>
      </c>
      <c r="P1689" s="22" t="s">
        <v>323</v>
      </c>
      <c r="Q1689" s="2" t="s">
        <v>329</v>
      </c>
      <c r="R1689">
        <v>47</v>
      </c>
      <c r="S1689" s="2">
        <v>18</v>
      </c>
      <c r="T1689" t="s">
        <v>297</v>
      </c>
      <c r="U1689" t="s">
        <v>300</v>
      </c>
      <c r="V1689" t="s">
        <v>301</v>
      </c>
      <c r="W1689" s="41"/>
      <c r="X1689" s="41"/>
      <c r="Y1689" s="34"/>
      <c r="Z1689" s="34"/>
      <c r="AA1689" s="35">
        <f>IF(TA[[#This Row],[Work Start time on Fault]]="NA","",(TA[[#This Row],[Fault Acknowledgement Time ]]-TA[[#This Row],[Fault Time]])*24)</f>
        <v>0</v>
      </c>
      <c r="AB1689" s="35">
        <f>(TA[[#This Row],[Work Start time on Fault]]-TA[[#This Row],[Fault Time]])*24</f>
        <v>0</v>
      </c>
      <c r="AC1689" s="34">
        <f>(TA[[#This Row],[Work Completion time on fault]]-TA[[#This Row],[Fault Time]])*24</f>
        <v>0</v>
      </c>
      <c r="AD1689" s="35">
        <f>IFERROR((TA[[#This Row],[Work Completion time on fault]]-TA[[#This Row],[Fault Time]])*24,"")</f>
        <v>0</v>
      </c>
      <c r="AE1689" t="s">
        <v>328</v>
      </c>
      <c r="AF1689" t="s">
        <v>256</v>
      </c>
      <c r="AG1689" s="2"/>
      <c r="AH1689" s="44">
        <f>1-COS(RADIANS(TA[[#This Row],[Avg. Target Angle during Fault Time (Radians)]]-TA[[#This Row],[Angle of affected equipment ]]))</f>
        <v>0.11705240714107301</v>
      </c>
      <c r="AI1689" s="35">
        <f>IFERROR(TA[[#This Row],[Breakdown Time]]*TA[[#This Row],[Plant Equivalent Weightage]],"")</f>
        <v>0</v>
      </c>
    </row>
    <row r="1690" spans="1:35">
      <c r="A1690" s="2">
        <f t="shared" si="209"/>
        <v>1687</v>
      </c>
      <c r="B1690" s="156">
        <f t="shared" si="212"/>
        <v>2026</v>
      </c>
      <c r="C1690" s="129">
        <f t="shared" si="213"/>
        <v>2025</v>
      </c>
      <c r="D1690" s="2" t="s">
        <v>155</v>
      </c>
      <c r="E1690" s="2" t="s">
        <v>155</v>
      </c>
      <c r="F1690" s="39">
        <v>45839</v>
      </c>
      <c r="G1690" s="2">
        <f>DAY(EOMONTH(TA[[#This Row],[Month Year]],0))</f>
        <v>31</v>
      </c>
      <c r="H1690" s="21">
        <v>45866</v>
      </c>
      <c r="I1690" s="41">
        <f>IFERROR(VLOOKUP(TA[[#This Row],[Date]],Raw_Data[[Date]:[Sunset Time (POA&lt;20 W/m2)]],3,0),"")</f>
        <v>0.25624999999999998</v>
      </c>
      <c r="J1690" s="41">
        <f>IFERROR(VLOOKUP(TA[[#This Row],[Date]],Raw_Data[[Date]:[Sunset Time (POA&lt;20 W/m2)]],4,0),"")</f>
        <v>0.76944444444444449</v>
      </c>
      <c r="K1690" s="35">
        <f>IFERROR((TA[[#This Row],[Sunset Time (POA&lt;20 W/m2)]]-TA[[#This Row],[Sunrise Time (POA&gt;20 W/m2)]])*24,"")</f>
        <v>12.316666666666668</v>
      </c>
      <c r="L1690" s="2" t="s">
        <v>296</v>
      </c>
      <c r="M1690" s="42">
        <f>IFERROR(VLOOKUP(TA[[#This Row],[Affected Equipment]],'Basic Data'!$I$2:$K$40,3,0),"")</f>
        <v>8.6206896551724102E-3</v>
      </c>
      <c r="N1690">
        <v>-28</v>
      </c>
      <c r="O1690" t="s">
        <v>134</v>
      </c>
      <c r="P1690" s="22" t="s">
        <v>330</v>
      </c>
      <c r="Q1690" s="2" t="s">
        <v>323</v>
      </c>
      <c r="R1690">
        <v>30</v>
      </c>
      <c r="S1690" s="2">
        <v>57</v>
      </c>
      <c r="T1690" t="s">
        <v>297</v>
      </c>
      <c r="U1690" t="s">
        <v>300</v>
      </c>
      <c r="V1690" t="s">
        <v>301</v>
      </c>
      <c r="W1690" s="41"/>
      <c r="X1690" s="41"/>
      <c r="Y1690" s="34"/>
      <c r="Z1690" s="34"/>
      <c r="AA1690" s="35">
        <f>IF(TA[[#This Row],[Work Start time on Fault]]="NA","",(TA[[#This Row],[Fault Acknowledgement Time ]]-TA[[#This Row],[Fault Time]])*24)</f>
        <v>0</v>
      </c>
      <c r="AB1690" s="35">
        <f>(TA[[#This Row],[Work Start time on Fault]]-TA[[#This Row],[Fault Time]])*24</f>
        <v>0</v>
      </c>
      <c r="AC1690" s="34">
        <f>(TA[[#This Row],[Work Completion time on fault]]-TA[[#This Row],[Fault Time]])*24</f>
        <v>0</v>
      </c>
      <c r="AD1690" s="35">
        <f>IFERROR((TA[[#This Row],[Work Completion time on fault]]-TA[[#This Row],[Fault Time]])*24,"")</f>
        <v>0</v>
      </c>
      <c r="AE1690" t="s">
        <v>328</v>
      </c>
      <c r="AF1690" t="s">
        <v>256</v>
      </c>
      <c r="AG1690" s="2"/>
      <c r="AH1690" s="44">
        <f>1-COS(RADIANS(TA[[#This Row],[Avg. Target Angle during Fault Time (Radians)]]-TA[[#This Row],[Angle of affected equipment ]]))</f>
        <v>0.11705240714107301</v>
      </c>
      <c r="AI1690" s="35">
        <f>IFERROR(TA[[#This Row],[Breakdown Time]]*TA[[#This Row],[Plant Equivalent Weightage]],"")</f>
        <v>0</v>
      </c>
    </row>
    <row r="1691" spans="1:35">
      <c r="A1691" s="2">
        <f t="shared" si="209"/>
        <v>1688</v>
      </c>
      <c r="B1691" s="156">
        <f t="shared" si="212"/>
        <v>2026</v>
      </c>
      <c r="C1691" s="129">
        <f t="shared" si="213"/>
        <v>2025</v>
      </c>
      <c r="D1691" s="2" t="s">
        <v>155</v>
      </c>
      <c r="E1691" s="2" t="s">
        <v>155</v>
      </c>
      <c r="F1691" s="39">
        <v>45839</v>
      </c>
      <c r="G1691" s="2">
        <f>DAY(EOMONTH(TA[[#This Row],[Month Year]],0))</f>
        <v>31</v>
      </c>
      <c r="H1691" s="21">
        <v>45866</v>
      </c>
      <c r="I1691" s="41">
        <f>IFERROR(VLOOKUP(TA[[#This Row],[Date]],Raw_Data[[Date]:[Sunset Time (POA&lt;20 W/m2)]],3,0),"")</f>
        <v>0.25624999999999998</v>
      </c>
      <c r="J1691" s="41">
        <f>IFERROR(VLOOKUP(TA[[#This Row],[Date]],Raw_Data[[Date]:[Sunset Time (POA&lt;20 W/m2)]],4,0),"")</f>
        <v>0.76944444444444449</v>
      </c>
      <c r="K1691" s="35">
        <f>IFERROR((TA[[#This Row],[Sunset Time (POA&lt;20 W/m2)]]-TA[[#This Row],[Sunrise Time (POA&gt;20 W/m2)]])*24,"")</f>
        <v>12.316666666666668</v>
      </c>
      <c r="L1691" s="2" t="s">
        <v>296</v>
      </c>
      <c r="M1691" s="42">
        <f>IFERROR(VLOOKUP(TA[[#This Row],[Affected Equipment]],'Basic Data'!$I$2:$K$40,3,0),"")</f>
        <v>8.6206896551724102E-3</v>
      </c>
      <c r="N1691">
        <v>-28</v>
      </c>
      <c r="O1691" t="s">
        <v>134</v>
      </c>
      <c r="P1691" s="22" t="s">
        <v>330</v>
      </c>
      <c r="Q1691" s="2" t="s">
        <v>323</v>
      </c>
      <c r="R1691">
        <v>31</v>
      </c>
      <c r="S1691" s="2">
        <v>61</v>
      </c>
      <c r="T1691" t="s">
        <v>297</v>
      </c>
      <c r="U1691" t="s">
        <v>300</v>
      </c>
      <c r="V1691" t="s">
        <v>301</v>
      </c>
      <c r="W1691" s="41"/>
      <c r="X1691" s="41"/>
      <c r="Y1691" s="34"/>
      <c r="Z1691" s="34"/>
      <c r="AA1691" s="35">
        <f>IF(TA[[#This Row],[Work Start time on Fault]]="NA","",(TA[[#This Row],[Fault Acknowledgement Time ]]-TA[[#This Row],[Fault Time]])*24)</f>
        <v>0</v>
      </c>
      <c r="AB1691" s="35">
        <f>(TA[[#This Row],[Work Start time on Fault]]-TA[[#This Row],[Fault Time]])*24</f>
        <v>0</v>
      </c>
      <c r="AC1691" s="34">
        <f>(TA[[#This Row],[Work Completion time on fault]]-TA[[#This Row],[Fault Time]])*24</f>
        <v>0</v>
      </c>
      <c r="AD1691" s="35">
        <f>IFERROR((TA[[#This Row],[Work Completion time on fault]]-TA[[#This Row],[Fault Time]])*24,"")</f>
        <v>0</v>
      </c>
      <c r="AE1691" t="s">
        <v>328</v>
      </c>
      <c r="AF1691" t="s">
        <v>256</v>
      </c>
      <c r="AG1691" s="2"/>
      <c r="AH1691" s="44">
        <f>1-COS(RADIANS(TA[[#This Row],[Avg. Target Angle during Fault Time (Radians)]]-TA[[#This Row],[Angle of affected equipment ]]))</f>
        <v>0.11705240714107301</v>
      </c>
      <c r="AI1691" s="35">
        <f>IFERROR(TA[[#This Row],[Breakdown Time]]*TA[[#This Row],[Plant Equivalent Weightage]],"")</f>
        <v>0</v>
      </c>
    </row>
    <row r="1692" spans="1:35">
      <c r="A1692" s="2">
        <f t="shared" si="209"/>
        <v>1689</v>
      </c>
      <c r="B1692" s="156">
        <f t="shared" si="212"/>
        <v>2026</v>
      </c>
      <c r="C1692" s="129">
        <f t="shared" si="213"/>
        <v>2025</v>
      </c>
      <c r="D1692" s="2" t="s">
        <v>155</v>
      </c>
      <c r="E1692" s="2" t="s">
        <v>155</v>
      </c>
      <c r="F1692" s="39">
        <v>45839</v>
      </c>
      <c r="G1692" s="2">
        <f>DAY(EOMONTH(TA[[#This Row],[Month Year]],0))</f>
        <v>31</v>
      </c>
      <c r="H1692" s="21">
        <v>45866</v>
      </c>
      <c r="I1692" s="41">
        <f>IFERROR(VLOOKUP(TA[[#This Row],[Date]],Raw_Data[[Date]:[Sunset Time (POA&lt;20 W/m2)]],3,0),"")</f>
        <v>0.25624999999999998</v>
      </c>
      <c r="J1692" s="41">
        <f>IFERROR(VLOOKUP(TA[[#This Row],[Date]],Raw_Data[[Date]:[Sunset Time (POA&lt;20 W/m2)]],4,0),"")</f>
        <v>0.76944444444444449</v>
      </c>
      <c r="K1692" s="35">
        <f>IFERROR((TA[[#This Row],[Sunset Time (POA&lt;20 W/m2)]]-TA[[#This Row],[Sunrise Time (POA&gt;20 W/m2)]])*24,"")</f>
        <v>12.316666666666668</v>
      </c>
      <c r="L1692" s="2" t="s">
        <v>312</v>
      </c>
      <c r="M1692" s="42">
        <f>IFERROR(VLOOKUP(TA[[#This Row],[Affected Equipment]],'Basic Data'!$I$2:$K$40,3,0),"")</f>
        <v>5.74712643678161E-3</v>
      </c>
      <c r="N1692">
        <v>-28</v>
      </c>
      <c r="O1692" t="s">
        <v>133</v>
      </c>
      <c r="P1692" s="22" t="s">
        <v>330</v>
      </c>
      <c r="Q1692" s="2" t="s">
        <v>323</v>
      </c>
      <c r="R1692">
        <v>26</v>
      </c>
      <c r="S1692" s="2">
        <v>37</v>
      </c>
      <c r="T1692" t="s">
        <v>297</v>
      </c>
      <c r="U1692" t="s">
        <v>300</v>
      </c>
      <c r="V1692" t="s">
        <v>301</v>
      </c>
      <c r="W1692" s="41"/>
      <c r="X1692" s="41"/>
      <c r="Y1692" s="34"/>
      <c r="Z1692" s="34"/>
      <c r="AA1692" s="35">
        <f>IF(TA[[#This Row],[Work Start time on Fault]]="NA","",(TA[[#This Row],[Fault Acknowledgement Time ]]-TA[[#This Row],[Fault Time]])*24)</f>
        <v>0</v>
      </c>
      <c r="AB1692" s="35">
        <f>(TA[[#This Row],[Work Start time on Fault]]-TA[[#This Row],[Fault Time]])*24</f>
        <v>0</v>
      </c>
      <c r="AC1692" s="34">
        <f>(TA[[#This Row],[Work Completion time on fault]]-TA[[#This Row],[Fault Time]])*24</f>
        <v>0</v>
      </c>
      <c r="AD1692" s="35">
        <f>IFERROR((TA[[#This Row],[Work Completion time on fault]]-TA[[#This Row],[Fault Time]])*24,"")</f>
        <v>0</v>
      </c>
      <c r="AE1692" t="s">
        <v>328</v>
      </c>
      <c r="AF1692" t="s">
        <v>256</v>
      </c>
      <c r="AG1692" s="2"/>
      <c r="AH1692" s="44">
        <f>1-COS(RADIANS(TA[[#This Row],[Avg. Target Angle during Fault Time (Radians)]]-TA[[#This Row],[Angle of affected equipment ]]))</f>
        <v>0.11705240714107301</v>
      </c>
      <c r="AI1692" s="35">
        <f>IFERROR(TA[[#This Row],[Breakdown Time]]*TA[[#This Row],[Plant Equivalent Weightage]],"")</f>
        <v>0</v>
      </c>
    </row>
    <row r="1693" spans="1:35">
      <c r="A1693" s="2">
        <f t="shared" si="209"/>
        <v>1690</v>
      </c>
      <c r="B1693" s="156">
        <f t="shared" si="212"/>
        <v>2026</v>
      </c>
      <c r="C1693" s="129">
        <f t="shared" si="213"/>
        <v>2025</v>
      </c>
      <c r="D1693" s="2" t="s">
        <v>155</v>
      </c>
      <c r="E1693" s="2" t="s">
        <v>155</v>
      </c>
      <c r="F1693" s="39">
        <v>45839</v>
      </c>
      <c r="G1693" s="2">
        <f>DAY(EOMONTH(TA[[#This Row],[Month Year]],0))</f>
        <v>31</v>
      </c>
      <c r="H1693" s="21">
        <v>45866</v>
      </c>
      <c r="I1693" s="41">
        <f>IFERROR(VLOOKUP(TA[[#This Row],[Date]],Raw_Data[[Date]:[Sunset Time (POA&lt;20 W/m2)]],3,0),"")</f>
        <v>0.25624999999999998</v>
      </c>
      <c r="J1693" s="41">
        <f>IFERROR(VLOOKUP(TA[[#This Row],[Date]],Raw_Data[[Date]:[Sunset Time (POA&lt;20 W/m2)]],4,0),"")</f>
        <v>0.76944444444444449</v>
      </c>
      <c r="K1693" s="35">
        <f>IFERROR((TA[[#This Row],[Sunset Time (POA&lt;20 W/m2)]]-TA[[#This Row],[Sunrise Time (POA&gt;20 W/m2)]])*24,"")</f>
        <v>12.316666666666668</v>
      </c>
      <c r="L1693" s="2" t="s">
        <v>312</v>
      </c>
      <c r="M1693" s="42">
        <f>IFERROR(VLOOKUP(TA[[#This Row],[Affected Equipment]],'Basic Data'!$I$2:$K$40,3,0),"")</f>
        <v>5.74712643678161E-3</v>
      </c>
      <c r="N1693">
        <v>-28</v>
      </c>
      <c r="O1693" t="s">
        <v>133</v>
      </c>
      <c r="P1693" s="22" t="s">
        <v>330</v>
      </c>
      <c r="Q1693" s="2" t="s">
        <v>323</v>
      </c>
      <c r="R1693">
        <v>27</v>
      </c>
      <c r="S1693" s="2">
        <v>42</v>
      </c>
      <c r="T1693" t="s">
        <v>297</v>
      </c>
      <c r="U1693" t="s">
        <v>300</v>
      </c>
      <c r="V1693" t="s">
        <v>301</v>
      </c>
      <c r="W1693" s="41">
        <f>IFERROR(VLOOKUP(TA[[#This Row],[Date]],Raw_Data[[Date]:[Sunset Time (POA&lt;20 W/m2)]],3,0),"")</f>
        <v>0.25624999999999998</v>
      </c>
      <c r="X1693" s="41">
        <f>IFERROR(VLOOKUP(TA[[#This Row],[Date]],Raw_Data[[Date]:[Sunset Time (POA&lt;20 W/m2)]],3,0),"")</f>
        <v>0.25624999999999998</v>
      </c>
      <c r="Y1693" s="34"/>
      <c r="Z1693" s="34">
        <v>0.76041666666666663</v>
      </c>
      <c r="AA1693" s="35">
        <f>IF(TA[[#This Row],[Work Start time on Fault]]="NA","",(TA[[#This Row],[Fault Acknowledgement Time ]]-TA[[#This Row],[Fault Time]])*24)</f>
        <v>0</v>
      </c>
      <c r="AB1693" s="35">
        <f>(TA[[#This Row],[Work Start time on Fault]]-TA[[#This Row],[Fault Time]])*24</f>
        <v>-6.1499999999999995</v>
      </c>
      <c r="AC1693" s="34">
        <f>(TA[[#This Row],[Work Completion time on fault]]-TA[[#This Row],[Fault Time]])*24</f>
        <v>12.1</v>
      </c>
      <c r="AD1693" s="35">
        <f>IFERROR((TA[[#This Row],[Work Completion time on fault]]-TA[[#This Row],[Fault Time]])*24,"")</f>
        <v>12.1</v>
      </c>
      <c r="AE1693" t="s">
        <v>309</v>
      </c>
      <c r="AF1693" t="s">
        <v>256</v>
      </c>
      <c r="AG1693" s="2"/>
      <c r="AH1693" s="44">
        <f>1-COS(RADIANS(TA[[#This Row],[Avg. Target Angle during Fault Time (Radians)]]-TA[[#This Row],[Angle of affected equipment ]]))</f>
        <v>0.11705240714107301</v>
      </c>
      <c r="AI1693" s="35">
        <f>IFERROR(TA[[#This Row],[Breakdown Time]]*TA[[#This Row],[Plant Equivalent Weightage]],"")</f>
        <v>6.9540229885057481E-2</v>
      </c>
    </row>
    <row r="1694" spans="1:35">
      <c r="A1694" s="2">
        <f t="shared" si="209"/>
        <v>1691</v>
      </c>
      <c r="B1694" s="156">
        <f t="shared" ref="B1694:B1706" si="214">YEAR(H1694)+IF(MONTH(H1694)&gt;=4,1,0)</f>
        <v>2026</v>
      </c>
      <c r="C1694" s="129">
        <f t="shared" ref="C1694:C1706" si="215">YEAR(H1694)</f>
        <v>2025</v>
      </c>
      <c r="D1694" s="2" t="s">
        <v>155</v>
      </c>
      <c r="E1694" s="2" t="s">
        <v>155</v>
      </c>
      <c r="F1694" s="39">
        <v>45839</v>
      </c>
      <c r="G1694" s="2">
        <f>DAY(EOMONTH(TA[[#This Row],[Month Year]],0))</f>
        <v>31</v>
      </c>
      <c r="H1694" s="21">
        <v>45867</v>
      </c>
      <c r="I1694" s="41">
        <f>IFERROR(VLOOKUP(TA[[#This Row],[Date]],Raw_Data[[Date]:[Sunset Time (POA&lt;20 W/m2)]],3,0),"")</f>
        <v>0.25555555555555554</v>
      </c>
      <c r="J1694" s="41">
        <f>IFERROR(VLOOKUP(TA[[#This Row],[Date]],Raw_Data[[Date]:[Sunset Time (POA&lt;20 W/m2)]],4,0),"")</f>
        <v>0.76458333333333328</v>
      </c>
      <c r="K1694" s="35">
        <f>IFERROR((TA[[#This Row],[Sunset Time (POA&lt;20 W/m2)]]-TA[[#This Row],[Sunrise Time (POA&gt;20 W/m2)]])*24,"")</f>
        <v>12.216666666666665</v>
      </c>
      <c r="L1694" s="2" t="s">
        <v>294</v>
      </c>
      <c r="M1694" s="42">
        <f>IFERROR(VLOOKUP(TA[[#This Row],[Affected Equipment]],'Basic Data'!$I$2:$K$40,3,0),"")</f>
        <v>1.7241379310344799E-3</v>
      </c>
      <c r="N1694">
        <v>-28</v>
      </c>
      <c r="O1694" t="s">
        <v>135</v>
      </c>
      <c r="P1694" s="127" t="s">
        <v>318</v>
      </c>
      <c r="Q1694" s="126" t="s">
        <v>318</v>
      </c>
      <c r="R1694">
        <v>131</v>
      </c>
      <c r="S1694" s="2">
        <v>38</v>
      </c>
      <c r="T1694" t="s">
        <v>295</v>
      </c>
      <c r="U1694" t="s">
        <v>300</v>
      </c>
      <c r="V1694" t="s">
        <v>298</v>
      </c>
      <c r="W1694" s="41"/>
      <c r="X1694" s="41"/>
      <c r="Y1694" s="34"/>
      <c r="Z1694" s="34"/>
      <c r="AA1694" s="35">
        <f>IF(TA[[#This Row],[Work Start time on Fault]]="NA","",(TA[[#This Row],[Fault Acknowledgement Time ]]-TA[[#This Row],[Fault Time]])*24)</f>
        <v>0</v>
      </c>
      <c r="AB1694" s="35">
        <f>(TA[[#This Row],[Work Start time on Fault]]-TA[[#This Row],[Fault Time]])*24</f>
        <v>0</v>
      </c>
      <c r="AC1694" s="34">
        <f>(TA[[#This Row],[Work Completion time on fault]]-TA[[#This Row],[Fault Time]])*24</f>
        <v>0</v>
      </c>
      <c r="AD1694" s="35">
        <f>IFERROR((TA[[#This Row],[Work Completion time on fault]]-TA[[#This Row],[Fault Time]])*24,"")</f>
        <v>0</v>
      </c>
      <c r="AE1694" t="s">
        <v>328</v>
      </c>
      <c r="AF1694" t="s">
        <v>256</v>
      </c>
      <c r="AG1694" s="2"/>
      <c r="AH1694" s="44">
        <f>1-COS(RADIANS(TA[[#This Row],[Avg. Target Angle during Fault Time (Radians)]]-TA[[#This Row],[Angle of affected equipment ]]))</f>
        <v>0.11705240714107301</v>
      </c>
      <c r="AI1694" s="35">
        <f>IFERROR(TA[[#This Row],[Breakdown Time]]*TA[[#This Row],[Plant Equivalent Weightage]],"")</f>
        <v>0</v>
      </c>
    </row>
    <row r="1695" spans="1:35">
      <c r="A1695" s="2">
        <f t="shared" si="209"/>
        <v>1692</v>
      </c>
      <c r="B1695" s="156">
        <f t="shared" si="214"/>
        <v>2026</v>
      </c>
      <c r="C1695" s="129">
        <f t="shared" si="215"/>
        <v>2025</v>
      </c>
      <c r="D1695" s="2" t="s">
        <v>155</v>
      </c>
      <c r="E1695" s="2" t="s">
        <v>155</v>
      </c>
      <c r="F1695" s="39">
        <v>45839</v>
      </c>
      <c r="G1695" s="2">
        <f>DAY(EOMONTH(TA[[#This Row],[Month Year]],0))</f>
        <v>31</v>
      </c>
      <c r="H1695" s="21">
        <v>45867</v>
      </c>
      <c r="I1695" s="41">
        <f>IFERROR(VLOOKUP(TA[[#This Row],[Date]],Raw_Data[[Date]:[Sunset Time (POA&lt;20 W/m2)]],3,0),"")</f>
        <v>0.25555555555555554</v>
      </c>
      <c r="J1695" s="41">
        <f>IFERROR(VLOOKUP(TA[[#This Row],[Date]],Raw_Data[[Date]:[Sunset Time (POA&lt;20 W/m2)]],4,0),"")</f>
        <v>0.76458333333333328</v>
      </c>
      <c r="K1695" s="35">
        <f>IFERROR((TA[[#This Row],[Sunset Time (POA&lt;20 W/m2)]]-TA[[#This Row],[Sunrise Time (POA&gt;20 W/m2)]])*24,"")</f>
        <v>12.216666666666665</v>
      </c>
      <c r="L1695" s="2" t="s">
        <v>294</v>
      </c>
      <c r="M1695" s="42">
        <f>IFERROR(VLOOKUP(TA[[#This Row],[Affected Equipment]],'Basic Data'!$I$2:$K$40,3,0),"")</f>
        <v>1.7241379310344799E-3</v>
      </c>
      <c r="N1695">
        <v>-28</v>
      </c>
      <c r="O1695" t="s">
        <v>135</v>
      </c>
      <c r="P1695" s="127" t="s">
        <v>318</v>
      </c>
      <c r="Q1695" s="126" t="s">
        <v>318</v>
      </c>
      <c r="R1695">
        <v>131</v>
      </c>
      <c r="S1695" s="2">
        <v>39</v>
      </c>
      <c r="T1695" t="s">
        <v>295</v>
      </c>
      <c r="U1695" t="s">
        <v>300</v>
      </c>
      <c r="V1695" t="s">
        <v>298</v>
      </c>
      <c r="W1695" s="41"/>
      <c r="X1695" s="41"/>
      <c r="Y1695" s="34"/>
      <c r="Z1695" s="34"/>
      <c r="AA1695" s="35">
        <f>IF(TA[[#This Row],[Work Start time on Fault]]="NA","",(TA[[#This Row],[Fault Acknowledgement Time ]]-TA[[#This Row],[Fault Time]])*24)</f>
        <v>0</v>
      </c>
      <c r="AB1695" s="35">
        <f>(TA[[#This Row],[Work Start time on Fault]]-TA[[#This Row],[Fault Time]])*24</f>
        <v>0</v>
      </c>
      <c r="AC1695" s="34">
        <f>(TA[[#This Row],[Work Completion time on fault]]-TA[[#This Row],[Fault Time]])*24</f>
        <v>0</v>
      </c>
      <c r="AD1695" s="35">
        <f>IFERROR((TA[[#This Row],[Work Completion time on fault]]-TA[[#This Row],[Fault Time]])*24,"")</f>
        <v>0</v>
      </c>
      <c r="AE1695" t="s">
        <v>328</v>
      </c>
      <c r="AF1695" t="s">
        <v>256</v>
      </c>
      <c r="AG1695" s="2"/>
      <c r="AH1695" s="44">
        <f>1-COS(RADIANS(TA[[#This Row],[Avg. Target Angle during Fault Time (Radians)]]-TA[[#This Row],[Angle of affected equipment ]]))</f>
        <v>0.11705240714107301</v>
      </c>
      <c r="AI1695" s="35">
        <f>IFERROR(TA[[#This Row],[Breakdown Time]]*TA[[#This Row],[Plant Equivalent Weightage]],"")</f>
        <v>0</v>
      </c>
    </row>
    <row r="1696" spans="1:35">
      <c r="A1696" s="2">
        <f t="shared" si="209"/>
        <v>1693</v>
      </c>
      <c r="B1696" s="156">
        <f t="shared" si="214"/>
        <v>2026</v>
      </c>
      <c r="C1696" s="129">
        <f t="shared" si="215"/>
        <v>2025</v>
      </c>
      <c r="D1696" s="2" t="s">
        <v>155</v>
      </c>
      <c r="E1696" s="2" t="s">
        <v>155</v>
      </c>
      <c r="F1696" s="39">
        <v>45839</v>
      </c>
      <c r="G1696" s="2">
        <f>DAY(EOMONTH(TA[[#This Row],[Month Year]],0))</f>
        <v>31</v>
      </c>
      <c r="H1696" s="21">
        <v>45867</v>
      </c>
      <c r="I1696" s="41">
        <f>IFERROR(VLOOKUP(TA[[#This Row],[Date]],Raw_Data[[Date]:[Sunset Time (POA&lt;20 W/m2)]],3,0),"")</f>
        <v>0.25555555555555554</v>
      </c>
      <c r="J1696" s="41">
        <f>IFERROR(VLOOKUP(TA[[#This Row],[Date]],Raw_Data[[Date]:[Sunset Time (POA&lt;20 W/m2)]],4,0),"")</f>
        <v>0.76458333333333328</v>
      </c>
      <c r="K1696" s="35">
        <f>IFERROR((TA[[#This Row],[Sunset Time (POA&lt;20 W/m2)]]-TA[[#This Row],[Sunrise Time (POA&gt;20 W/m2)]])*24,"")</f>
        <v>12.216666666666665</v>
      </c>
      <c r="L1696" s="2" t="s">
        <v>296</v>
      </c>
      <c r="M1696" s="42">
        <f>IFERROR(VLOOKUP(TA[[#This Row],[Affected Equipment]],'Basic Data'!$I$2:$K$40,3,0),"")</f>
        <v>8.6206896551724102E-3</v>
      </c>
      <c r="N1696">
        <v>-28</v>
      </c>
      <c r="O1696" t="s">
        <v>135</v>
      </c>
      <c r="P1696" s="127" t="s">
        <v>318</v>
      </c>
      <c r="Q1696" s="2" t="s">
        <v>321</v>
      </c>
      <c r="R1696">
        <v>133</v>
      </c>
      <c r="S1696" s="2">
        <v>26</v>
      </c>
      <c r="T1696" t="s">
        <v>297</v>
      </c>
      <c r="U1696" t="s">
        <v>300</v>
      </c>
      <c r="V1696" t="s">
        <v>314</v>
      </c>
      <c r="W1696" s="41">
        <f>IFERROR(VLOOKUP(TA[[#This Row],[Date]],Raw_Data[[Date]:[Sunset Time (POA&lt;20 W/m2)]],3,0),"")</f>
        <v>0.25555555555555554</v>
      </c>
      <c r="X1696" s="41">
        <f>IFERROR(VLOOKUP(TA[[#This Row],[Date]],Raw_Data[[Date]:[Sunset Time (POA&lt;20 W/m2)]],3,0),"")</f>
        <v>0.25555555555555554</v>
      </c>
      <c r="Y1696" s="34"/>
      <c r="Z1696" s="34">
        <v>0.76041666666666663</v>
      </c>
      <c r="AA1696" s="35">
        <f>IF(TA[[#This Row],[Work Start time on Fault]]="NA","",(TA[[#This Row],[Fault Acknowledgement Time ]]-TA[[#This Row],[Fault Time]])*24)</f>
        <v>0</v>
      </c>
      <c r="AB1696" s="35">
        <f>(TA[[#This Row],[Work Start time on Fault]]-TA[[#This Row],[Fault Time]])*24</f>
        <v>-6.1333333333333329</v>
      </c>
      <c r="AC1696" s="34">
        <f>(TA[[#This Row],[Work Completion time on fault]]-TA[[#This Row],[Fault Time]])*24</f>
        <v>12.116666666666667</v>
      </c>
      <c r="AD1696" s="35">
        <f>IFERROR((TA[[#This Row],[Work Completion time on fault]]-TA[[#This Row],[Fault Time]])*24,"")</f>
        <v>12.116666666666667</v>
      </c>
      <c r="AE1696" t="s">
        <v>328</v>
      </c>
      <c r="AF1696" t="s">
        <v>256</v>
      </c>
      <c r="AG1696" s="2"/>
      <c r="AH1696" s="44">
        <f>1-COS(RADIANS(TA[[#This Row],[Avg. Target Angle during Fault Time (Radians)]]-TA[[#This Row],[Angle of affected equipment ]]))</f>
        <v>0.11705240714107301</v>
      </c>
      <c r="AI1696" s="35">
        <f>IFERROR(TA[[#This Row],[Breakdown Time]]*TA[[#This Row],[Plant Equivalent Weightage]],"")</f>
        <v>0.1044540229885057</v>
      </c>
    </row>
    <row r="1697" spans="1:35">
      <c r="A1697" s="2">
        <f t="shared" si="209"/>
        <v>1694</v>
      </c>
      <c r="B1697" s="156">
        <f t="shared" si="214"/>
        <v>2026</v>
      </c>
      <c r="C1697" s="129">
        <f t="shared" si="215"/>
        <v>2025</v>
      </c>
      <c r="D1697" s="2" t="s">
        <v>155</v>
      </c>
      <c r="E1697" s="2" t="s">
        <v>155</v>
      </c>
      <c r="F1697" s="39">
        <v>45839</v>
      </c>
      <c r="G1697" s="2">
        <f>DAY(EOMONTH(TA[[#This Row],[Month Year]],0))</f>
        <v>31</v>
      </c>
      <c r="H1697" s="21">
        <v>45867</v>
      </c>
      <c r="I1697" s="41">
        <f>IFERROR(VLOOKUP(TA[[#This Row],[Date]],Raw_Data[[Date]:[Sunset Time (POA&lt;20 W/m2)]],3,0),"")</f>
        <v>0.25555555555555554</v>
      </c>
      <c r="J1697" s="41">
        <f>IFERROR(VLOOKUP(TA[[#This Row],[Date]],Raw_Data[[Date]:[Sunset Time (POA&lt;20 W/m2)]],4,0),"")</f>
        <v>0.76458333333333328</v>
      </c>
      <c r="K1697" s="35">
        <f>IFERROR((TA[[#This Row],[Sunset Time (POA&lt;20 W/m2)]]-TA[[#This Row],[Sunrise Time (POA&gt;20 W/m2)]])*24,"")</f>
        <v>12.216666666666665</v>
      </c>
      <c r="L1697" s="2" t="s">
        <v>294</v>
      </c>
      <c r="M1697" s="42">
        <f>IFERROR(VLOOKUP(TA[[#This Row],[Affected Equipment]],'Basic Data'!$I$2:$K$40,3,0),"")</f>
        <v>1.7241379310344799E-3</v>
      </c>
      <c r="N1697">
        <v>-28</v>
      </c>
      <c r="O1697" t="s">
        <v>133</v>
      </c>
      <c r="P1697" s="127" t="s">
        <v>316</v>
      </c>
      <c r="Q1697" s="126" t="s">
        <v>317</v>
      </c>
      <c r="R1697">
        <v>7</v>
      </c>
      <c r="S1697" s="2">
        <v>32</v>
      </c>
      <c r="T1697" t="s">
        <v>295</v>
      </c>
      <c r="U1697" t="s">
        <v>300</v>
      </c>
      <c r="V1697" t="s">
        <v>298</v>
      </c>
      <c r="W1697" s="41"/>
      <c r="X1697" s="41"/>
      <c r="Y1697" s="34"/>
      <c r="Z1697" s="34"/>
      <c r="AA1697" s="35">
        <f>IF(TA[[#This Row],[Work Start time on Fault]]="NA","",(TA[[#This Row],[Fault Acknowledgement Time ]]-TA[[#This Row],[Fault Time]])*24)</f>
        <v>0</v>
      </c>
      <c r="AB1697" s="35">
        <f>(TA[[#This Row],[Work Start time on Fault]]-TA[[#This Row],[Fault Time]])*24</f>
        <v>0</v>
      </c>
      <c r="AC1697" s="34">
        <f>(TA[[#This Row],[Work Completion time on fault]]-TA[[#This Row],[Fault Time]])*24</f>
        <v>0</v>
      </c>
      <c r="AD1697" s="35">
        <f>IFERROR((TA[[#This Row],[Work Completion time on fault]]-TA[[#This Row],[Fault Time]])*24,"")</f>
        <v>0</v>
      </c>
      <c r="AE1697" t="s">
        <v>328</v>
      </c>
      <c r="AF1697" t="s">
        <v>256</v>
      </c>
      <c r="AG1697" s="2"/>
      <c r="AH1697" s="44">
        <f>1-COS(RADIANS(TA[[#This Row],[Avg. Target Angle during Fault Time (Radians)]]-TA[[#This Row],[Angle of affected equipment ]]))</f>
        <v>0.11705240714107301</v>
      </c>
      <c r="AI1697" s="35">
        <f>IFERROR(TA[[#This Row],[Breakdown Time]]*TA[[#This Row],[Plant Equivalent Weightage]],"")</f>
        <v>0</v>
      </c>
    </row>
    <row r="1698" spans="1:35">
      <c r="A1698" s="2">
        <f t="shared" si="209"/>
        <v>1695</v>
      </c>
      <c r="B1698" s="156">
        <f t="shared" si="214"/>
        <v>2026</v>
      </c>
      <c r="C1698" s="129">
        <f t="shared" si="215"/>
        <v>2025</v>
      </c>
      <c r="D1698" s="2" t="s">
        <v>155</v>
      </c>
      <c r="E1698" s="2" t="s">
        <v>155</v>
      </c>
      <c r="F1698" s="39">
        <v>45839</v>
      </c>
      <c r="G1698" s="2">
        <f>DAY(EOMONTH(TA[[#This Row],[Month Year]],0))</f>
        <v>31</v>
      </c>
      <c r="H1698" s="21">
        <v>45867</v>
      </c>
      <c r="I1698" s="41">
        <f>IFERROR(VLOOKUP(TA[[#This Row],[Date]],Raw_Data[[Date]:[Sunset Time (POA&lt;20 W/m2)]],3,0),"")</f>
        <v>0.25555555555555554</v>
      </c>
      <c r="J1698" s="41">
        <f>IFERROR(VLOOKUP(TA[[#This Row],[Date]],Raw_Data[[Date]:[Sunset Time (POA&lt;20 W/m2)]],4,0),"")</f>
        <v>0.76458333333333328</v>
      </c>
      <c r="K1698" s="35">
        <f>IFERROR((TA[[#This Row],[Sunset Time (POA&lt;20 W/m2)]]-TA[[#This Row],[Sunrise Time (POA&gt;20 W/m2)]])*24,"")</f>
        <v>12.216666666666665</v>
      </c>
      <c r="L1698" s="2" t="s">
        <v>294</v>
      </c>
      <c r="M1698" s="42">
        <f>IFERROR(VLOOKUP(TA[[#This Row],[Affected Equipment]],'Basic Data'!$I$2:$K$40,3,0),"")</f>
        <v>1.7241379310344799E-3</v>
      </c>
      <c r="N1698">
        <v>-28</v>
      </c>
      <c r="O1698" t="s">
        <v>137</v>
      </c>
      <c r="P1698" s="127" t="s">
        <v>315</v>
      </c>
      <c r="Q1698" s="126" t="s">
        <v>319</v>
      </c>
      <c r="R1698">
        <v>166</v>
      </c>
      <c r="S1698" s="2">
        <v>91</v>
      </c>
      <c r="T1698" t="s">
        <v>295</v>
      </c>
      <c r="U1698" t="s">
        <v>300</v>
      </c>
      <c r="V1698" t="s">
        <v>298</v>
      </c>
      <c r="W1698" s="41"/>
      <c r="X1698" s="41"/>
      <c r="Y1698" s="34"/>
      <c r="Z1698" s="34"/>
      <c r="AA1698" s="35">
        <f>IF(TA[[#This Row],[Work Start time on Fault]]="NA","",(TA[[#This Row],[Fault Acknowledgement Time ]]-TA[[#This Row],[Fault Time]])*24)</f>
        <v>0</v>
      </c>
      <c r="AB1698" s="35">
        <f>(TA[[#This Row],[Work Start time on Fault]]-TA[[#This Row],[Fault Time]])*24</f>
        <v>0</v>
      </c>
      <c r="AC1698" s="34">
        <f>(TA[[#This Row],[Work Completion time on fault]]-TA[[#This Row],[Fault Time]])*24</f>
        <v>0</v>
      </c>
      <c r="AD1698" s="35">
        <f>IFERROR((TA[[#This Row],[Work Completion time on fault]]-TA[[#This Row],[Fault Time]])*24,"")</f>
        <v>0</v>
      </c>
      <c r="AE1698" t="s">
        <v>328</v>
      </c>
      <c r="AF1698" t="s">
        <v>256</v>
      </c>
      <c r="AG1698" s="2"/>
      <c r="AH1698" s="44">
        <f>1-COS(RADIANS(TA[[#This Row],[Avg. Target Angle during Fault Time (Radians)]]-TA[[#This Row],[Angle of affected equipment ]]))</f>
        <v>0.11705240714107301</v>
      </c>
      <c r="AI1698" s="35">
        <f>IFERROR(TA[[#This Row],[Breakdown Time]]*TA[[#This Row],[Plant Equivalent Weightage]],"")</f>
        <v>0</v>
      </c>
    </row>
    <row r="1699" spans="1:35">
      <c r="A1699" s="2">
        <f t="shared" si="209"/>
        <v>1696</v>
      </c>
      <c r="B1699" s="156">
        <f t="shared" si="214"/>
        <v>2026</v>
      </c>
      <c r="C1699" s="129">
        <f t="shared" si="215"/>
        <v>2025</v>
      </c>
      <c r="D1699" s="2" t="s">
        <v>155</v>
      </c>
      <c r="E1699" s="2" t="s">
        <v>155</v>
      </c>
      <c r="F1699" s="39">
        <v>45839</v>
      </c>
      <c r="G1699" s="2">
        <f>DAY(EOMONTH(TA[[#This Row],[Month Year]],0))</f>
        <v>31</v>
      </c>
      <c r="H1699" s="21">
        <v>45867</v>
      </c>
      <c r="I1699" s="41">
        <f>IFERROR(VLOOKUP(TA[[#This Row],[Date]],Raw_Data[[Date]:[Sunset Time (POA&lt;20 W/m2)]],3,0),"")</f>
        <v>0.25555555555555554</v>
      </c>
      <c r="J1699" s="41">
        <f>IFERROR(VLOOKUP(TA[[#This Row],[Date]],Raw_Data[[Date]:[Sunset Time (POA&lt;20 W/m2)]],4,0),"")</f>
        <v>0.76458333333333328</v>
      </c>
      <c r="K1699" s="35">
        <f>IFERROR((TA[[#This Row],[Sunset Time (POA&lt;20 W/m2)]]-TA[[#This Row],[Sunrise Time (POA&gt;20 W/m2)]])*24,"")</f>
        <v>12.216666666666665</v>
      </c>
      <c r="L1699" s="2" t="s">
        <v>294</v>
      </c>
      <c r="M1699" s="42">
        <f>IFERROR(VLOOKUP(TA[[#This Row],[Affected Equipment]],'Basic Data'!$I$2:$K$40,3,0),"")</f>
        <v>1.7241379310344799E-3</v>
      </c>
      <c r="N1699">
        <v>-28</v>
      </c>
      <c r="O1699" t="s">
        <v>133</v>
      </c>
      <c r="P1699" s="127" t="s">
        <v>316</v>
      </c>
      <c r="Q1699" s="126" t="s">
        <v>316</v>
      </c>
      <c r="R1699">
        <v>117</v>
      </c>
      <c r="S1699" s="2">
        <v>20</v>
      </c>
      <c r="T1699" t="s">
        <v>295</v>
      </c>
      <c r="U1699" t="s">
        <v>300</v>
      </c>
      <c r="V1699" t="s">
        <v>298</v>
      </c>
      <c r="W1699" s="41"/>
      <c r="X1699" s="41"/>
      <c r="Y1699" s="34"/>
      <c r="Z1699" s="34"/>
      <c r="AA1699" s="35">
        <f>IF(TA[[#This Row],[Work Start time on Fault]]="NA","",(TA[[#This Row],[Fault Acknowledgement Time ]]-TA[[#This Row],[Fault Time]])*24)</f>
        <v>0</v>
      </c>
      <c r="AB1699" s="35">
        <f>(TA[[#This Row],[Work Start time on Fault]]-TA[[#This Row],[Fault Time]])*24</f>
        <v>0</v>
      </c>
      <c r="AC1699" s="34">
        <f>(TA[[#This Row],[Work Completion time on fault]]-TA[[#This Row],[Fault Time]])*24</f>
        <v>0</v>
      </c>
      <c r="AD1699" s="35">
        <f>IFERROR((TA[[#This Row],[Work Completion time on fault]]-TA[[#This Row],[Fault Time]])*24,"")</f>
        <v>0</v>
      </c>
      <c r="AE1699" t="s">
        <v>328</v>
      </c>
      <c r="AF1699" t="s">
        <v>256</v>
      </c>
      <c r="AG1699" s="2"/>
      <c r="AH1699" s="44">
        <f>1-COS(RADIANS(TA[[#This Row],[Avg. Target Angle during Fault Time (Radians)]]-TA[[#This Row],[Angle of affected equipment ]]))</f>
        <v>0.11705240714107301</v>
      </c>
      <c r="AI1699" s="35">
        <f>IFERROR(TA[[#This Row],[Breakdown Time]]*TA[[#This Row],[Plant Equivalent Weightage]],"")</f>
        <v>0</v>
      </c>
    </row>
    <row r="1700" spans="1:35">
      <c r="A1700" s="2">
        <f t="shared" si="209"/>
        <v>1697</v>
      </c>
      <c r="B1700" s="156">
        <f t="shared" si="214"/>
        <v>2026</v>
      </c>
      <c r="C1700" s="129">
        <f t="shared" si="215"/>
        <v>2025</v>
      </c>
      <c r="D1700" s="2" t="s">
        <v>155</v>
      </c>
      <c r="E1700" s="2" t="s">
        <v>155</v>
      </c>
      <c r="F1700" s="39">
        <v>45839</v>
      </c>
      <c r="G1700" s="2">
        <f>DAY(EOMONTH(TA[[#This Row],[Month Year]],0))</f>
        <v>31</v>
      </c>
      <c r="H1700" s="21">
        <v>45867</v>
      </c>
      <c r="I1700" s="41">
        <f>IFERROR(VLOOKUP(TA[[#This Row],[Date]],Raw_Data[[Date]:[Sunset Time (POA&lt;20 W/m2)]],3,0),"")</f>
        <v>0.25555555555555554</v>
      </c>
      <c r="J1700" s="41">
        <f>IFERROR(VLOOKUP(TA[[#This Row],[Date]],Raw_Data[[Date]:[Sunset Time (POA&lt;20 W/m2)]],4,0),"")</f>
        <v>0.76458333333333328</v>
      </c>
      <c r="K1700" s="35">
        <f>IFERROR((TA[[#This Row],[Sunset Time (POA&lt;20 W/m2)]]-TA[[#This Row],[Sunrise Time (POA&gt;20 W/m2)]])*24,"")</f>
        <v>12.216666666666665</v>
      </c>
      <c r="L1700" s="2" t="s">
        <v>294</v>
      </c>
      <c r="M1700" s="42">
        <f>IFERROR(VLOOKUP(TA[[#This Row],[Affected Equipment]],'Basic Data'!$I$2:$K$40,3,0),"")</f>
        <v>1.7241379310344799E-3</v>
      </c>
      <c r="N1700">
        <v>-28</v>
      </c>
      <c r="O1700" t="s">
        <v>133</v>
      </c>
      <c r="P1700" s="127" t="s">
        <v>316</v>
      </c>
      <c r="Q1700" s="126" t="s">
        <v>316</v>
      </c>
      <c r="R1700">
        <v>118</v>
      </c>
      <c r="S1700" s="2">
        <v>22</v>
      </c>
      <c r="T1700" t="s">
        <v>295</v>
      </c>
      <c r="U1700" t="s">
        <v>300</v>
      </c>
      <c r="V1700" t="s">
        <v>298</v>
      </c>
      <c r="W1700" s="41"/>
      <c r="X1700" s="41"/>
      <c r="Y1700" s="34"/>
      <c r="Z1700" s="34"/>
      <c r="AA1700" s="35">
        <f>IF(TA[[#This Row],[Work Start time on Fault]]="NA","",(TA[[#This Row],[Fault Acknowledgement Time ]]-TA[[#This Row],[Fault Time]])*24)</f>
        <v>0</v>
      </c>
      <c r="AB1700" s="35">
        <f>(TA[[#This Row],[Work Start time on Fault]]-TA[[#This Row],[Fault Time]])*24</f>
        <v>0</v>
      </c>
      <c r="AC1700" s="34">
        <f>(TA[[#This Row],[Work Completion time on fault]]-TA[[#This Row],[Fault Time]])*24</f>
        <v>0</v>
      </c>
      <c r="AD1700" s="35">
        <f>IFERROR((TA[[#This Row],[Work Completion time on fault]]-TA[[#This Row],[Fault Time]])*24,"")</f>
        <v>0</v>
      </c>
      <c r="AE1700" t="s">
        <v>328</v>
      </c>
      <c r="AF1700" t="s">
        <v>256</v>
      </c>
      <c r="AG1700" s="2"/>
      <c r="AH1700" s="44">
        <f>1-COS(RADIANS(TA[[#This Row],[Avg. Target Angle during Fault Time (Radians)]]-TA[[#This Row],[Angle of affected equipment ]]))</f>
        <v>0.11705240714107301</v>
      </c>
      <c r="AI1700" s="35">
        <f>IFERROR(TA[[#This Row],[Breakdown Time]]*TA[[#This Row],[Plant Equivalent Weightage]],"")</f>
        <v>0</v>
      </c>
    </row>
    <row r="1701" spans="1:35">
      <c r="A1701" s="2">
        <f t="shared" si="209"/>
        <v>1698</v>
      </c>
      <c r="B1701" s="156">
        <f t="shared" si="214"/>
        <v>2026</v>
      </c>
      <c r="C1701" s="129">
        <f t="shared" si="215"/>
        <v>2025</v>
      </c>
      <c r="D1701" s="2" t="s">
        <v>155</v>
      </c>
      <c r="E1701" s="2" t="s">
        <v>155</v>
      </c>
      <c r="F1701" s="39">
        <v>45839</v>
      </c>
      <c r="G1701" s="2">
        <f>DAY(EOMONTH(TA[[#This Row],[Month Year]],0))</f>
        <v>31</v>
      </c>
      <c r="H1701" s="21">
        <v>45867</v>
      </c>
      <c r="I1701" s="41">
        <f>IFERROR(VLOOKUP(TA[[#This Row],[Date]],Raw_Data[[Date]:[Sunset Time (POA&lt;20 W/m2)]],3,0),"")</f>
        <v>0.25555555555555554</v>
      </c>
      <c r="J1701" s="41">
        <f>IFERROR(VLOOKUP(TA[[#This Row],[Date]],Raw_Data[[Date]:[Sunset Time (POA&lt;20 W/m2)]],4,0),"")</f>
        <v>0.76458333333333328</v>
      </c>
      <c r="K1701" s="35">
        <f>IFERROR((TA[[#This Row],[Sunset Time (POA&lt;20 W/m2)]]-TA[[#This Row],[Sunrise Time (POA&gt;20 W/m2)]])*24,"")</f>
        <v>12.216666666666665</v>
      </c>
      <c r="L1701" s="2" t="s">
        <v>296</v>
      </c>
      <c r="M1701" s="42">
        <f>IFERROR(VLOOKUP(TA[[#This Row],[Affected Equipment]],'Basic Data'!$I$2:$K$40,3,0),"")</f>
        <v>8.6206896551724102E-3</v>
      </c>
      <c r="N1701">
        <v>-28</v>
      </c>
      <c r="O1701" t="s">
        <v>135</v>
      </c>
      <c r="P1701" s="22" t="s">
        <v>323</v>
      </c>
      <c r="Q1701" s="2" t="s">
        <v>329</v>
      </c>
      <c r="R1701">
        <v>45</v>
      </c>
      <c r="S1701" s="2">
        <v>8</v>
      </c>
      <c r="T1701" t="s">
        <v>297</v>
      </c>
      <c r="U1701" t="s">
        <v>300</v>
      </c>
      <c r="V1701" t="s">
        <v>301</v>
      </c>
      <c r="W1701" s="41"/>
      <c r="X1701" s="41"/>
      <c r="Y1701" s="34"/>
      <c r="Z1701" s="34"/>
      <c r="AA1701" s="35">
        <f>IF(TA[[#This Row],[Work Start time on Fault]]="NA","",(TA[[#This Row],[Fault Acknowledgement Time ]]-TA[[#This Row],[Fault Time]])*24)</f>
        <v>0</v>
      </c>
      <c r="AB1701" s="35">
        <f>(TA[[#This Row],[Work Start time on Fault]]-TA[[#This Row],[Fault Time]])*24</f>
        <v>0</v>
      </c>
      <c r="AC1701" s="34">
        <f>(TA[[#This Row],[Work Completion time on fault]]-TA[[#This Row],[Fault Time]])*24</f>
        <v>0</v>
      </c>
      <c r="AD1701" s="35">
        <f>IFERROR((TA[[#This Row],[Work Completion time on fault]]-TA[[#This Row],[Fault Time]])*24,"")</f>
        <v>0</v>
      </c>
      <c r="AE1701" t="s">
        <v>328</v>
      </c>
      <c r="AF1701" t="s">
        <v>256</v>
      </c>
      <c r="AG1701" s="2"/>
      <c r="AH1701" s="44">
        <f>1-COS(RADIANS(TA[[#This Row],[Avg. Target Angle during Fault Time (Radians)]]-TA[[#This Row],[Angle of affected equipment ]]))</f>
        <v>0.11705240714107301</v>
      </c>
      <c r="AI1701" s="35">
        <f>IFERROR(TA[[#This Row],[Breakdown Time]]*TA[[#This Row],[Plant Equivalent Weightage]],"")</f>
        <v>0</v>
      </c>
    </row>
    <row r="1702" spans="1:35">
      <c r="A1702" s="2">
        <f t="shared" si="209"/>
        <v>1699</v>
      </c>
      <c r="B1702" s="156">
        <f t="shared" si="214"/>
        <v>2026</v>
      </c>
      <c r="C1702" s="129">
        <f t="shared" si="215"/>
        <v>2025</v>
      </c>
      <c r="D1702" s="2" t="s">
        <v>155</v>
      </c>
      <c r="E1702" s="2" t="s">
        <v>155</v>
      </c>
      <c r="F1702" s="39">
        <v>45839</v>
      </c>
      <c r="G1702" s="2">
        <f>DAY(EOMONTH(TA[[#This Row],[Month Year]],0))</f>
        <v>31</v>
      </c>
      <c r="H1702" s="21">
        <v>45867</v>
      </c>
      <c r="I1702" s="41">
        <f>IFERROR(VLOOKUP(TA[[#This Row],[Date]],Raw_Data[[Date]:[Sunset Time (POA&lt;20 W/m2)]],3,0),"")</f>
        <v>0.25555555555555554</v>
      </c>
      <c r="J1702" s="41">
        <f>IFERROR(VLOOKUP(TA[[#This Row],[Date]],Raw_Data[[Date]:[Sunset Time (POA&lt;20 W/m2)]],4,0),"")</f>
        <v>0.76458333333333328</v>
      </c>
      <c r="K1702" s="35">
        <f>IFERROR((TA[[#This Row],[Sunset Time (POA&lt;20 W/m2)]]-TA[[#This Row],[Sunrise Time (POA&gt;20 W/m2)]])*24,"")</f>
        <v>12.216666666666665</v>
      </c>
      <c r="L1702" s="2" t="s">
        <v>296</v>
      </c>
      <c r="M1702" s="42">
        <f>IFERROR(VLOOKUP(TA[[#This Row],[Affected Equipment]],'Basic Data'!$I$2:$K$40,3,0),"")</f>
        <v>8.6206896551724102E-3</v>
      </c>
      <c r="N1702">
        <v>-28</v>
      </c>
      <c r="O1702" t="s">
        <v>135</v>
      </c>
      <c r="P1702" s="22" t="s">
        <v>323</v>
      </c>
      <c r="Q1702" s="2" t="s">
        <v>329</v>
      </c>
      <c r="R1702">
        <v>47</v>
      </c>
      <c r="S1702" s="2">
        <v>18</v>
      </c>
      <c r="T1702" t="s">
        <v>297</v>
      </c>
      <c r="U1702" t="s">
        <v>300</v>
      </c>
      <c r="V1702" t="s">
        <v>301</v>
      </c>
      <c r="W1702" s="41"/>
      <c r="X1702" s="41"/>
      <c r="Y1702" s="34"/>
      <c r="Z1702" s="34"/>
      <c r="AA1702" s="35">
        <f>IF(TA[[#This Row],[Work Start time on Fault]]="NA","",(TA[[#This Row],[Fault Acknowledgement Time ]]-TA[[#This Row],[Fault Time]])*24)</f>
        <v>0</v>
      </c>
      <c r="AB1702" s="35">
        <f>(TA[[#This Row],[Work Start time on Fault]]-TA[[#This Row],[Fault Time]])*24</f>
        <v>0</v>
      </c>
      <c r="AC1702" s="34">
        <f>(TA[[#This Row],[Work Completion time on fault]]-TA[[#This Row],[Fault Time]])*24</f>
        <v>0</v>
      </c>
      <c r="AD1702" s="35">
        <f>IFERROR((TA[[#This Row],[Work Completion time on fault]]-TA[[#This Row],[Fault Time]])*24,"")</f>
        <v>0</v>
      </c>
      <c r="AE1702" t="s">
        <v>328</v>
      </c>
      <c r="AF1702" t="s">
        <v>256</v>
      </c>
      <c r="AG1702" s="2"/>
      <c r="AH1702" s="44">
        <f>1-COS(RADIANS(TA[[#This Row],[Avg. Target Angle during Fault Time (Radians)]]-TA[[#This Row],[Angle of affected equipment ]]))</f>
        <v>0.11705240714107301</v>
      </c>
      <c r="AI1702" s="35">
        <f>IFERROR(TA[[#This Row],[Breakdown Time]]*TA[[#This Row],[Plant Equivalent Weightage]],"")</f>
        <v>0</v>
      </c>
    </row>
    <row r="1703" spans="1:35">
      <c r="A1703" s="2">
        <f t="shared" si="209"/>
        <v>1700</v>
      </c>
      <c r="B1703" s="156">
        <f t="shared" si="214"/>
        <v>2026</v>
      </c>
      <c r="C1703" s="129">
        <f t="shared" si="215"/>
        <v>2025</v>
      </c>
      <c r="D1703" s="2" t="s">
        <v>155</v>
      </c>
      <c r="E1703" s="2" t="s">
        <v>155</v>
      </c>
      <c r="F1703" s="39">
        <v>45839</v>
      </c>
      <c r="G1703" s="2">
        <f>DAY(EOMONTH(TA[[#This Row],[Month Year]],0))</f>
        <v>31</v>
      </c>
      <c r="H1703" s="21">
        <v>45867</v>
      </c>
      <c r="I1703" s="41">
        <f>IFERROR(VLOOKUP(TA[[#This Row],[Date]],Raw_Data[[Date]:[Sunset Time (POA&lt;20 W/m2)]],3,0),"")</f>
        <v>0.25555555555555554</v>
      </c>
      <c r="J1703" s="41">
        <f>IFERROR(VLOOKUP(TA[[#This Row],[Date]],Raw_Data[[Date]:[Sunset Time (POA&lt;20 W/m2)]],4,0),"")</f>
        <v>0.76458333333333328</v>
      </c>
      <c r="K1703" s="35">
        <f>IFERROR((TA[[#This Row],[Sunset Time (POA&lt;20 W/m2)]]-TA[[#This Row],[Sunrise Time (POA&gt;20 W/m2)]])*24,"")</f>
        <v>12.216666666666665</v>
      </c>
      <c r="L1703" s="2" t="s">
        <v>296</v>
      </c>
      <c r="M1703" s="42">
        <f>IFERROR(VLOOKUP(TA[[#This Row],[Affected Equipment]],'Basic Data'!$I$2:$K$40,3,0),"")</f>
        <v>8.6206896551724102E-3</v>
      </c>
      <c r="N1703">
        <v>-28</v>
      </c>
      <c r="O1703" t="s">
        <v>134</v>
      </c>
      <c r="P1703" s="22" t="s">
        <v>330</v>
      </c>
      <c r="Q1703" s="2" t="s">
        <v>323</v>
      </c>
      <c r="R1703">
        <v>30</v>
      </c>
      <c r="S1703" s="2">
        <v>57</v>
      </c>
      <c r="T1703" t="s">
        <v>297</v>
      </c>
      <c r="U1703" t="s">
        <v>300</v>
      </c>
      <c r="V1703" t="s">
        <v>301</v>
      </c>
      <c r="W1703" s="41"/>
      <c r="X1703" s="41"/>
      <c r="Y1703" s="34"/>
      <c r="Z1703" s="34"/>
      <c r="AA1703" s="35">
        <f>IF(TA[[#This Row],[Work Start time on Fault]]="NA","",(TA[[#This Row],[Fault Acknowledgement Time ]]-TA[[#This Row],[Fault Time]])*24)</f>
        <v>0</v>
      </c>
      <c r="AB1703" s="35">
        <f>(TA[[#This Row],[Work Start time on Fault]]-TA[[#This Row],[Fault Time]])*24</f>
        <v>0</v>
      </c>
      <c r="AC1703" s="34">
        <f>(TA[[#This Row],[Work Completion time on fault]]-TA[[#This Row],[Fault Time]])*24</f>
        <v>0</v>
      </c>
      <c r="AD1703" s="35">
        <f>IFERROR((TA[[#This Row],[Work Completion time on fault]]-TA[[#This Row],[Fault Time]])*24,"")</f>
        <v>0</v>
      </c>
      <c r="AE1703" t="s">
        <v>328</v>
      </c>
      <c r="AF1703" t="s">
        <v>256</v>
      </c>
      <c r="AG1703" s="2"/>
      <c r="AH1703" s="44">
        <f>1-COS(RADIANS(TA[[#This Row],[Avg. Target Angle during Fault Time (Radians)]]-TA[[#This Row],[Angle of affected equipment ]]))</f>
        <v>0.11705240714107301</v>
      </c>
      <c r="AI1703" s="35">
        <f>IFERROR(TA[[#This Row],[Breakdown Time]]*TA[[#This Row],[Plant Equivalent Weightage]],"")</f>
        <v>0</v>
      </c>
    </row>
    <row r="1704" spans="1:35">
      <c r="A1704" s="2">
        <f t="shared" si="209"/>
        <v>1701</v>
      </c>
      <c r="B1704" s="156">
        <f t="shared" si="214"/>
        <v>2026</v>
      </c>
      <c r="C1704" s="129">
        <f t="shared" si="215"/>
        <v>2025</v>
      </c>
      <c r="D1704" s="2" t="s">
        <v>155</v>
      </c>
      <c r="E1704" s="2" t="s">
        <v>155</v>
      </c>
      <c r="F1704" s="39">
        <v>45839</v>
      </c>
      <c r="G1704" s="2">
        <f>DAY(EOMONTH(TA[[#This Row],[Month Year]],0))</f>
        <v>31</v>
      </c>
      <c r="H1704" s="21">
        <v>45867</v>
      </c>
      <c r="I1704" s="41">
        <f>IFERROR(VLOOKUP(TA[[#This Row],[Date]],Raw_Data[[Date]:[Sunset Time (POA&lt;20 W/m2)]],3,0),"")</f>
        <v>0.25555555555555554</v>
      </c>
      <c r="J1704" s="41">
        <f>IFERROR(VLOOKUP(TA[[#This Row],[Date]],Raw_Data[[Date]:[Sunset Time (POA&lt;20 W/m2)]],4,0),"")</f>
        <v>0.76458333333333328</v>
      </c>
      <c r="K1704" s="35">
        <f>IFERROR((TA[[#This Row],[Sunset Time (POA&lt;20 W/m2)]]-TA[[#This Row],[Sunrise Time (POA&gt;20 W/m2)]])*24,"")</f>
        <v>12.216666666666665</v>
      </c>
      <c r="L1704" s="2" t="s">
        <v>296</v>
      </c>
      <c r="M1704" s="42">
        <f>IFERROR(VLOOKUP(TA[[#This Row],[Affected Equipment]],'Basic Data'!$I$2:$K$40,3,0),"")</f>
        <v>8.6206896551724102E-3</v>
      </c>
      <c r="N1704">
        <v>-28</v>
      </c>
      <c r="O1704" t="s">
        <v>134</v>
      </c>
      <c r="P1704" s="22" t="s">
        <v>330</v>
      </c>
      <c r="Q1704" s="2" t="s">
        <v>323</v>
      </c>
      <c r="R1704">
        <v>31</v>
      </c>
      <c r="S1704" s="2">
        <v>61</v>
      </c>
      <c r="T1704" t="s">
        <v>297</v>
      </c>
      <c r="U1704" t="s">
        <v>300</v>
      </c>
      <c r="V1704" t="s">
        <v>301</v>
      </c>
      <c r="W1704" s="41"/>
      <c r="X1704" s="41"/>
      <c r="Y1704" s="34"/>
      <c r="Z1704" s="34"/>
      <c r="AA1704" s="35">
        <f>IF(TA[[#This Row],[Work Start time on Fault]]="NA","",(TA[[#This Row],[Fault Acknowledgement Time ]]-TA[[#This Row],[Fault Time]])*24)</f>
        <v>0</v>
      </c>
      <c r="AB1704" s="35">
        <f>(TA[[#This Row],[Work Start time on Fault]]-TA[[#This Row],[Fault Time]])*24</f>
        <v>0</v>
      </c>
      <c r="AC1704" s="34">
        <f>(TA[[#This Row],[Work Completion time on fault]]-TA[[#This Row],[Fault Time]])*24</f>
        <v>0</v>
      </c>
      <c r="AD1704" s="35">
        <f>IFERROR((TA[[#This Row],[Work Completion time on fault]]-TA[[#This Row],[Fault Time]])*24,"")</f>
        <v>0</v>
      </c>
      <c r="AE1704" t="s">
        <v>328</v>
      </c>
      <c r="AF1704" t="s">
        <v>256</v>
      </c>
      <c r="AG1704" s="2"/>
      <c r="AH1704" s="44">
        <f>1-COS(RADIANS(TA[[#This Row],[Avg. Target Angle during Fault Time (Radians)]]-TA[[#This Row],[Angle of affected equipment ]]))</f>
        <v>0.11705240714107301</v>
      </c>
      <c r="AI1704" s="35">
        <f>IFERROR(TA[[#This Row],[Breakdown Time]]*TA[[#This Row],[Plant Equivalent Weightage]],"")</f>
        <v>0</v>
      </c>
    </row>
    <row r="1705" spans="1:35">
      <c r="A1705" s="2">
        <f t="shared" si="209"/>
        <v>1702</v>
      </c>
      <c r="B1705" s="156">
        <f t="shared" si="214"/>
        <v>2026</v>
      </c>
      <c r="C1705" s="129">
        <f t="shared" si="215"/>
        <v>2025</v>
      </c>
      <c r="D1705" s="2" t="s">
        <v>155</v>
      </c>
      <c r="E1705" s="2" t="s">
        <v>155</v>
      </c>
      <c r="F1705" s="39">
        <v>45839</v>
      </c>
      <c r="G1705" s="2">
        <f>DAY(EOMONTH(TA[[#This Row],[Month Year]],0))</f>
        <v>31</v>
      </c>
      <c r="H1705" s="21">
        <v>45867</v>
      </c>
      <c r="I1705" s="41">
        <f>IFERROR(VLOOKUP(TA[[#This Row],[Date]],Raw_Data[[Date]:[Sunset Time (POA&lt;20 W/m2)]],3,0),"")</f>
        <v>0.25555555555555554</v>
      </c>
      <c r="J1705" s="41">
        <f>IFERROR(VLOOKUP(TA[[#This Row],[Date]],Raw_Data[[Date]:[Sunset Time (POA&lt;20 W/m2)]],4,0),"")</f>
        <v>0.76458333333333328</v>
      </c>
      <c r="K1705" s="35">
        <f>IFERROR((TA[[#This Row],[Sunset Time (POA&lt;20 W/m2)]]-TA[[#This Row],[Sunrise Time (POA&gt;20 W/m2)]])*24,"")</f>
        <v>12.216666666666665</v>
      </c>
      <c r="L1705" s="2" t="s">
        <v>312</v>
      </c>
      <c r="M1705" s="42">
        <f>IFERROR(VLOOKUP(TA[[#This Row],[Affected Equipment]],'Basic Data'!$I$2:$K$40,3,0),"")</f>
        <v>5.74712643678161E-3</v>
      </c>
      <c r="N1705">
        <v>-28</v>
      </c>
      <c r="O1705" t="s">
        <v>133</v>
      </c>
      <c r="P1705" s="22" t="s">
        <v>330</v>
      </c>
      <c r="Q1705" s="2" t="s">
        <v>323</v>
      </c>
      <c r="R1705">
        <v>26</v>
      </c>
      <c r="S1705" s="2">
        <v>37</v>
      </c>
      <c r="T1705" t="s">
        <v>297</v>
      </c>
      <c r="U1705" t="s">
        <v>300</v>
      </c>
      <c r="V1705" t="s">
        <v>301</v>
      </c>
      <c r="W1705" s="41"/>
      <c r="X1705" s="41"/>
      <c r="Y1705" s="34"/>
      <c r="Z1705" s="34"/>
      <c r="AA1705" s="35">
        <f>IF(TA[[#This Row],[Work Start time on Fault]]="NA","",(TA[[#This Row],[Fault Acknowledgement Time ]]-TA[[#This Row],[Fault Time]])*24)</f>
        <v>0</v>
      </c>
      <c r="AB1705" s="35">
        <f>(TA[[#This Row],[Work Start time on Fault]]-TA[[#This Row],[Fault Time]])*24</f>
        <v>0</v>
      </c>
      <c r="AC1705" s="34">
        <f>(TA[[#This Row],[Work Completion time on fault]]-TA[[#This Row],[Fault Time]])*24</f>
        <v>0</v>
      </c>
      <c r="AD1705" s="35">
        <f>IFERROR((TA[[#This Row],[Work Completion time on fault]]-TA[[#This Row],[Fault Time]])*24,"")</f>
        <v>0</v>
      </c>
      <c r="AE1705" t="s">
        <v>328</v>
      </c>
      <c r="AF1705" t="s">
        <v>256</v>
      </c>
      <c r="AG1705" s="2"/>
      <c r="AH1705" s="44">
        <f>1-COS(RADIANS(TA[[#This Row],[Avg. Target Angle during Fault Time (Radians)]]-TA[[#This Row],[Angle of affected equipment ]]))</f>
        <v>0.11705240714107301</v>
      </c>
      <c r="AI1705" s="35">
        <f>IFERROR(TA[[#This Row],[Breakdown Time]]*TA[[#This Row],[Plant Equivalent Weightage]],"")</f>
        <v>0</v>
      </c>
    </row>
    <row r="1706" spans="1:35">
      <c r="A1706" s="2">
        <f t="shared" si="209"/>
        <v>1703</v>
      </c>
      <c r="B1706" s="156">
        <f t="shared" si="214"/>
        <v>2026</v>
      </c>
      <c r="C1706" s="129">
        <f t="shared" si="215"/>
        <v>2025</v>
      </c>
      <c r="D1706" s="2" t="s">
        <v>155</v>
      </c>
      <c r="E1706" s="2" t="s">
        <v>155</v>
      </c>
      <c r="F1706" s="39">
        <v>45839</v>
      </c>
      <c r="G1706" s="2">
        <f>DAY(EOMONTH(TA[[#This Row],[Month Year]],0))</f>
        <v>31</v>
      </c>
      <c r="H1706" s="21">
        <v>45867</v>
      </c>
      <c r="I1706" s="41">
        <f>IFERROR(VLOOKUP(TA[[#This Row],[Date]],Raw_Data[[Date]:[Sunset Time (POA&lt;20 W/m2)]],3,0),"")</f>
        <v>0.25555555555555554</v>
      </c>
      <c r="J1706" s="41">
        <f>IFERROR(VLOOKUP(TA[[#This Row],[Date]],Raw_Data[[Date]:[Sunset Time (POA&lt;20 W/m2)]],4,0),"")</f>
        <v>0.76458333333333328</v>
      </c>
      <c r="K1706" s="35">
        <f>IFERROR((TA[[#This Row],[Sunset Time (POA&lt;20 W/m2)]]-TA[[#This Row],[Sunrise Time (POA&gt;20 W/m2)]])*24,"")</f>
        <v>12.216666666666665</v>
      </c>
      <c r="L1706" s="2" t="s">
        <v>312</v>
      </c>
      <c r="M1706" s="42">
        <f>IFERROR(VLOOKUP(TA[[#This Row],[Affected Equipment]],'Basic Data'!$I$2:$K$40,3,0),"")</f>
        <v>5.74712643678161E-3</v>
      </c>
      <c r="N1706">
        <v>-28</v>
      </c>
      <c r="O1706" t="s">
        <v>133</v>
      </c>
      <c r="P1706" s="22" t="s">
        <v>330</v>
      </c>
      <c r="Q1706" s="2" t="s">
        <v>323</v>
      </c>
      <c r="R1706">
        <v>27</v>
      </c>
      <c r="S1706" s="2">
        <v>42</v>
      </c>
      <c r="T1706" t="s">
        <v>297</v>
      </c>
      <c r="U1706" t="s">
        <v>300</v>
      </c>
      <c r="V1706" t="s">
        <v>301</v>
      </c>
      <c r="W1706" s="41">
        <f>IFERROR(VLOOKUP(TA[[#This Row],[Date]],Raw_Data[[Date]:[Sunset Time (POA&lt;20 W/m2)]],3,0),"")</f>
        <v>0.25555555555555554</v>
      </c>
      <c r="X1706" s="41">
        <f>IFERROR(VLOOKUP(TA[[#This Row],[Date]],Raw_Data[[Date]:[Sunset Time (POA&lt;20 W/m2)]],3,0),"")</f>
        <v>0.25555555555555554</v>
      </c>
      <c r="Y1706" s="34"/>
      <c r="Z1706" s="34">
        <v>0.76041666666666663</v>
      </c>
      <c r="AA1706" s="35">
        <f>IF(TA[[#This Row],[Work Start time on Fault]]="NA","",(TA[[#This Row],[Fault Acknowledgement Time ]]-TA[[#This Row],[Fault Time]])*24)</f>
        <v>0</v>
      </c>
      <c r="AB1706" s="35">
        <f>(TA[[#This Row],[Work Start time on Fault]]-TA[[#This Row],[Fault Time]])*24</f>
        <v>-6.1333333333333329</v>
      </c>
      <c r="AC1706" s="34">
        <f>(TA[[#This Row],[Work Completion time on fault]]-TA[[#This Row],[Fault Time]])*24</f>
        <v>12.116666666666667</v>
      </c>
      <c r="AD1706" s="35">
        <f>IFERROR((TA[[#This Row],[Work Completion time on fault]]-TA[[#This Row],[Fault Time]])*24,"")</f>
        <v>12.116666666666667</v>
      </c>
      <c r="AE1706" t="s">
        <v>309</v>
      </c>
      <c r="AF1706" t="s">
        <v>256</v>
      </c>
      <c r="AG1706" s="2"/>
      <c r="AH1706" s="44">
        <f>1-COS(RADIANS(TA[[#This Row],[Avg. Target Angle during Fault Time (Radians)]]-TA[[#This Row],[Angle of affected equipment ]]))</f>
        <v>0.11705240714107301</v>
      </c>
      <c r="AI1706" s="35">
        <f>IFERROR(TA[[#This Row],[Breakdown Time]]*TA[[#This Row],[Plant Equivalent Weightage]],"")</f>
        <v>6.9636015325670514E-2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 L1681:L1687 L1694:L1700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 T1681:T1687 T1694:T1700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 O1681:O1687 O1694:O1700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AF4:AF1706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Z34" activePane="bottomRight" state="frozen"/>
      <selection pane="topRight" activeCell="I2" sqref="I2"/>
      <selection pane="bottomLeft" activeCell="A3" sqref="A3"/>
      <selection pane="bottomRight" activeCell="AD47" sqref="AD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Q116" sqref="Q11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L117" activePane="bottomRight" state="frozen"/>
      <selection pane="topRight" activeCell="I2" sqref="I2"/>
      <selection pane="bottomLeft" activeCell="A3" sqref="A3"/>
      <selection pane="bottomRight" activeCell="N126" sqref="N126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 t="s">
        <v>155</v>
      </c>
      <c r="E111" s="2" t="s">
        <v>155</v>
      </c>
      <c r="F111" s="18">
        <v>45839</v>
      </c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 t="s">
        <v>155</v>
      </c>
      <c r="E112" s="2" t="s">
        <v>155</v>
      </c>
      <c r="F112" s="18">
        <v>45839</v>
      </c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 t="s">
        <v>155</v>
      </c>
      <c r="E113" s="2" t="s">
        <v>155</v>
      </c>
      <c r="F113" s="18">
        <v>45839</v>
      </c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 t="s">
        <v>155</v>
      </c>
      <c r="E114" s="2" t="s">
        <v>155</v>
      </c>
      <c r="F114" s="18">
        <v>45839</v>
      </c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 t="s">
        <v>155</v>
      </c>
      <c r="E115" s="2" t="s">
        <v>155</v>
      </c>
      <c r="F115" s="18">
        <v>45839</v>
      </c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 t="s">
        <v>155</v>
      </c>
      <c r="E116" s="2" t="s">
        <v>155</v>
      </c>
      <c r="F116" s="18">
        <v>45839</v>
      </c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 t="s">
        <v>155</v>
      </c>
      <c r="E117" s="2" t="s">
        <v>155</v>
      </c>
      <c r="F117" s="18">
        <v>45839</v>
      </c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 t="s">
        <v>155</v>
      </c>
      <c r="E118" s="2" t="s">
        <v>155</v>
      </c>
      <c r="F118" s="18">
        <v>45839</v>
      </c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 t="s">
        <v>155</v>
      </c>
      <c r="E119" s="2" t="s">
        <v>155</v>
      </c>
      <c r="F119" s="18">
        <v>45839</v>
      </c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 t="s">
        <v>155</v>
      </c>
      <c r="E120" s="2" t="s">
        <v>155</v>
      </c>
      <c r="F120" s="18">
        <v>45839</v>
      </c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 t="s">
        <v>155</v>
      </c>
      <c r="E121" s="2" t="s">
        <v>155</v>
      </c>
      <c r="F121" s="18">
        <v>45839</v>
      </c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 t="s">
        <v>155</v>
      </c>
      <c r="E122" s="2" t="s">
        <v>155</v>
      </c>
      <c r="F122" s="18">
        <v>45839</v>
      </c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 t="s">
        <v>155</v>
      </c>
      <c r="E123" s="2" t="s">
        <v>155</v>
      </c>
      <c r="F123" s="18">
        <v>45839</v>
      </c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 t="s">
        <v>155</v>
      </c>
      <c r="E124" s="2" t="s">
        <v>155</v>
      </c>
      <c r="F124" s="18">
        <v>45839</v>
      </c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 t="s">
        <v>155</v>
      </c>
      <c r="E125" s="2" t="s">
        <v>155</v>
      </c>
      <c r="F125" s="18">
        <v>45839</v>
      </c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 t="s">
        <v>155</v>
      </c>
      <c r="E126" s="2" t="s">
        <v>155</v>
      </c>
      <c r="F126" s="18">
        <v>45839</v>
      </c>
      <c r="G126" s="2"/>
      <c r="H126" s="19">
        <f t="shared" si="12"/>
        <v>45868</v>
      </c>
      <c r="Q126" s="2">
        <f>SUM(GC[[#This Row],[IC1_Inv1_GC]:[IC2_Inv2_GC]])</f>
        <v>0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 t="s">
        <v>155</v>
      </c>
      <c r="E127" s="2" t="s">
        <v>155</v>
      </c>
      <c r="F127" s="18">
        <v>45839</v>
      </c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2025-07-30T02:27:13Z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