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8C85B788-B97F-4591-984E-258D1023EDEC}" xr6:coauthVersionLast="47" xr6:coauthVersionMax="47" xr10:uidLastSave="{00000000-0000-0000-0000-000000000000}"/>
  <bookViews>
    <workbookView xWindow="-120" yWindow="-120" windowWidth="20730" windowHeight="1116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720" i="4" l="1"/>
  <c r="AI1720" i="4" s="1"/>
  <c r="AB1721" i="4"/>
  <c r="AC1723" i="4"/>
  <c r="AC1724" i="4"/>
  <c r="AD1725" i="4"/>
  <c r="AI1725" i="4" s="1"/>
  <c r="AD1727" i="4"/>
  <c r="AI1727" i="4" s="1"/>
  <c r="AD1728" i="4"/>
  <c r="AI1728" i="4" s="1"/>
  <c r="AB1729" i="4"/>
  <c r="AD1730" i="4"/>
  <c r="AI1730" i="4" s="1"/>
  <c r="AC1731" i="4"/>
  <c r="AA1725" i="4"/>
  <c r="AA1726" i="4"/>
  <c r="AA1729" i="4"/>
  <c r="AH1732" i="4"/>
  <c r="AC1732" i="4"/>
  <c r="X1732" i="4"/>
  <c r="AA1732" i="4" s="1"/>
  <c r="W1732" i="4"/>
  <c r="AD1732" i="4" s="1"/>
  <c r="AI1732" i="4" s="1"/>
  <c r="M1732" i="4"/>
  <c r="J1732" i="4"/>
  <c r="K1732" i="4" s="1"/>
  <c r="I1732" i="4"/>
  <c r="G1732" i="4"/>
  <c r="C1732" i="4"/>
  <c r="B1732" i="4"/>
  <c r="AH1731" i="4"/>
  <c r="AD1731" i="4"/>
  <c r="AI1731" i="4" s="1"/>
  <c r="AA1731" i="4"/>
  <c r="M1731" i="4"/>
  <c r="J1731" i="4"/>
  <c r="K1731" i="4" s="1"/>
  <c r="I1731" i="4"/>
  <c r="G1731" i="4"/>
  <c r="C1731" i="4"/>
  <c r="B1731" i="4"/>
  <c r="AH1730" i="4"/>
  <c r="AA1730" i="4"/>
  <c r="M1730" i="4"/>
  <c r="J1730" i="4"/>
  <c r="K1730" i="4" s="1"/>
  <c r="I1730" i="4"/>
  <c r="G1730" i="4"/>
  <c r="C1730" i="4"/>
  <c r="B1730" i="4"/>
  <c r="AH1729" i="4"/>
  <c r="AD1729" i="4"/>
  <c r="AI1729" i="4" s="1"/>
  <c r="AC1729" i="4"/>
  <c r="M1729" i="4"/>
  <c r="J1729" i="4"/>
  <c r="K1729" i="4" s="1"/>
  <c r="I1729" i="4"/>
  <c r="G1729" i="4"/>
  <c r="C1729" i="4"/>
  <c r="B1729" i="4"/>
  <c r="AH1728" i="4"/>
  <c r="M1728" i="4"/>
  <c r="J1728" i="4"/>
  <c r="K1728" i="4" s="1"/>
  <c r="I1728" i="4"/>
  <c r="G1728" i="4"/>
  <c r="C1728" i="4"/>
  <c r="B1728" i="4"/>
  <c r="AH1727" i="4"/>
  <c r="AA1727" i="4"/>
  <c r="M1727" i="4"/>
  <c r="J1727" i="4"/>
  <c r="K1727" i="4" s="1"/>
  <c r="I1727" i="4"/>
  <c r="G1727" i="4"/>
  <c r="C1727" i="4"/>
  <c r="B1727" i="4"/>
  <c r="AH1726" i="4"/>
  <c r="AD1726" i="4"/>
  <c r="AI1726" i="4" s="1"/>
  <c r="AC1726" i="4"/>
  <c r="AB1726" i="4"/>
  <c r="M1726" i="4"/>
  <c r="J1726" i="4"/>
  <c r="K1726" i="4" s="1"/>
  <c r="I1726" i="4"/>
  <c r="G1726" i="4"/>
  <c r="C1726" i="4"/>
  <c r="B1726" i="4"/>
  <c r="AH1725" i="4"/>
  <c r="M1725" i="4"/>
  <c r="J1725" i="4"/>
  <c r="I1725" i="4"/>
  <c r="G1725" i="4"/>
  <c r="C1725" i="4"/>
  <c r="B1725" i="4"/>
  <c r="AH1724" i="4"/>
  <c r="AD1724" i="4"/>
  <c r="AI1724" i="4" s="1"/>
  <c r="AB1724" i="4"/>
  <c r="AA1724" i="4"/>
  <c r="M1724" i="4"/>
  <c r="J1724" i="4"/>
  <c r="K1724" i="4" s="1"/>
  <c r="I1724" i="4"/>
  <c r="G1724" i="4"/>
  <c r="C1724" i="4"/>
  <c r="B1724" i="4"/>
  <c r="AH1723" i="4"/>
  <c r="AD1723" i="4"/>
  <c r="AI1723" i="4" s="1"/>
  <c r="AA1723" i="4"/>
  <c r="M1723" i="4"/>
  <c r="J1723" i="4"/>
  <c r="I1723" i="4"/>
  <c r="G1723" i="4"/>
  <c r="C1723" i="4"/>
  <c r="B1723" i="4"/>
  <c r="AH1722" i="4"/>
  <c r="X1722" i="4"/>
  <c r="AA1722" i="4" s="1"/>
  <c r="W1722" i="4"/>
  <c r="AD1722" i="4" s="1"/>
  <c r="M1722" i="4"/>
  <c r="J1722" i="4"/>
  <c r="K1722" i="4" s="1"/>
  <c r="I1722" i="4"/>
  <c r="G1722" i="4"/>
  <c r="C1722" i="4"/>
  <c r="B1722" i="4"/>
  <c r="AH1721" i="4"/>
  <c r="AD1721" i="4"/>
  <c r="AC1721" i="4"/>
  <c r="AA1721" i="4"/>
  <c r="M1721" i="4"/>
  <c r="J1721" i="4"/>
  <c r="I1721" i="4"/>
  <c r="G1721" i="4"/>
  <c r="C1721" i="4"/>
  <c r="B1721" i="4"/>
  <c r="AH1720" i="4"/>
  <c r="AC1720" i="4"/>
  <c r="AB1720" i="4"/>
  <c r="AA1720" i="4"/>
  <c r="M1720" i="4"/>
  <c r="J1720" i="4"/>
  <c r="K1720" i="4" s="1"/>
  <c r="I1720" i="4"/>
  <c r="G1720" i="4"/>
  <c r="C1720" i="4"/>
  <c r="B1720" i="4"/>
  <c r="A1720" i="4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G31" i="3"/>
  <c r="I31" i="3"/>
  <c r="J31" i="3"/>
  <c r="K31" i="3" s="1"/>
  <c r="M31" i="3"/>
  <c r="N31" i="3"/>
  <c r="AE31" i="3"/>
  <c r="J126" i="7"/>
  <c r="K126" i="7"/>
  <c r="L126" i="7"/>
  <c r="M126" i="7"/>
  <c r="N126" i="7"/>
  <c r="O126" i="7"/>
  <c r="P126" i="7"/>
  <c r="Q126" i="7"/>
  <c r="R126" i="7"/>
  <c r="S126" i="7"/>
  <c r="T126" i="7"/>
  <c r="U126" i="7"/>
  <c r="J127" i="6"/>
  <c r="P127" i="6" s="1"/>
  <c r="K127" i="6"/>
  <c r="L127" i="6"/>
  <c r="M127" i="6"/>
  <c r="N127" i="6"/>
  <c r="O127" i="6"/>
  <c r="Q127" i="6"/>
  <c r="F128" i="1"/>
  <c r="AB128" i="1"/>
  <c r="AC128" i="1"/>
  <c r="AD128" i="1"/>
  <c r="AE128" i="1" s="1"/>
  <c r="AF128" i="1"/>
  <c r="AG128" i="1" s="1"/>
  <c r="AH128" i="1"/>
  <c r="G127" i="6"/>
  <c r="I127" i="6"/>
  <c r="A126" i="7"/>
  <c r="C126" i="7"/>
  <c r="F126" i="7"/>
  <c r="G126" i="7" s="1"/>
  <c r="H126" i="7"/>
  <c r="B126" i="7" s="1"/>
  <c r="G30" i="3"/>
  <c r="M30" i="3"/>
  <c r="AE30" i="3" s="1"/>
  <c r="N30" i="3"/>
  <c r="AC30" i="3" s="1"/>
  <c r="W30" i="3"/>
  <c r="X30" i="3"/>
  <c r="Y30" i="3"/>
  <c r="Z30" i="3"/>
  <c r="G47" i="11"/>
  <c r="M47" i="11"/>
  <c r="P47" i="11"/>
  <c r="W47" i="11"/>
  <c r="X47" i="11"/>
  <c r="Y47" i="11"/>
  <c r="AB47" i="11" s="1"/>
  <c r="AD47" i="11"/>
  <c r="AD1708" i="4"/>
  <c r="AD1710" i="4"/>
  <c r="AI1710" i="4" s="1"/>
  <c r="AD1711" i="4"/>
  <c r="AC1712" i="4"/>
  <c r="AD1713" i="4"/>
  <c r="AI1713" i="4" s="1"/>
  <c r="AD1714" i="4"/>
  <c r="AI1714" i="4" s="1"/>
  <c r="AD1715" i="4"/>
  <c r="AC1716" i="4"/>
  <c r="AD1717" i="4"/>
  <c r="AC1718" i="4"/>
  <c r="AA1707" i="4"/>
  <c r="AA1708" i="4"/>
  <c r="AA1711" i="4"/>
  <c r="AA1712" i="4"/>
  <c r="AA1717" i="4"/>
  <c r="AH1719" i="4"/>
  <c r="M1719" i="4"/>
  <c r="G1719" i="4"/>
  <c r="C1719" i="4"/>
  <c r="B1719" i="4"/>
  <c r="AH1718" i="4"/>
  <c r="AD1718" i="4"/>
  <c r="AA1718" i="4"/>
  <c r="M1718" i="4"/>
  <c r="G1718" i="4"/>
  <c r="C1718" i="4"/>
  <c r="B1718" i="4"/>
  <c r="AH1717" i="4"/>
  <c r="AB1717" i="4"/>
  <c r="M1717" i="4"/>
  <c r="G1717" i="4"/>
  <c r="C1717" i="4"/>
  <c r="B1717" i="4"/>
  <c r="AH1716" i="4"/>
  <c r="AD1716" i="4"/>
  <c r="AA1716" i="4"/>
  <c r="M1716" i="4"/>
  <c r="G1716" i="4"/>
  <c r="C1716" i="4"/>
  <c r="B1716" i="4"/>
  <c r="AH1715" i="4"/>
  <c r="M1715" i="4"/>
  <c r="G1715" i="4"/>
  <c r="C1715" i="4"/>
  <c r="B1715" i="4"/>
  <c r="AH1714" i="4"/>
  <c r="M1714" i="4"/>
  <c r="G1714" i="4"/>
  <c r="C1714" i="4"/>
  <c r="B1714" i="4"/>
  <c r="AH1713" i="4"/>
  <c r="M1713" i="4"/>
  <c r="G1713" i="4"/>
  <c r="C1713" i="4"/>
  <c r="B1713" i="4"/>
  <c r="AH1712" i="4"/>
  <c r="AD1712" i="4"/>
  <c r="AI1712" i="4" s="1"/>
  <c r="AB1712" i="4"/>
  <c r="M1712" i="4"/>
  <c r="G1712" i="4"/>
  <c r="C1712" i="4"/>
  <c r="B1712" i="4"/>
  <c r="AH1711" i="4"/>
  <c r="M1711" i="4"/>
  <c r="G1711" i="4"/>
  <c r="C1711" i="4"/>
  <c r="B1711" i="4"/>
  <c r="AH1710" i="4"/>
  <c r="AC1710" i="4"/>
  <c r="AA1710" i="4"/>
  <c r="M1710" i="4"/>
  <c r="G1710" i="4"/>
  <c r="C1710" i="4"/>
  <c r="B1710" i="4"/>
  <c r="AH1709" i="4"/>
  <c r="M1709" i="4"/>
  <c r="G1709" i="4"/>
  <c r="C1709" i="4"/>
  <c r="B1709" i="4"/>
  <c r="AH1708" i="4"/>
  <c r="AC1708" i="4"/>
  <c r="M1708" i="4"/>
  <c r="G1708" i="4"/>
  <c r="C1708" i="4"/>
  <c r="B1708" i="4"/>
  <c r="AH1707" i="4"/>
  <c r="AD1707" i="4"/>
  <c r="AC1707" i="4"/>
  <c r="AB1707" i="4"/>
  <c r="M1707" i="4"/>
  <c r="G1707" i="4"/>
  <c r="C1707" i="4"/>
  <c r="B1707" i="4"/>
  <c r="A1707" i="4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25" i="7"/>
  <c r="B125" i="7"/>
  <c r="C125" i="7"/>
  <c r="F125" i="7"/>
  <c r="G125" i="7" s="1"/>
  <c r="H125" i="7"/>
  <c r="F127" i="1"/>
  <c r="AB127" i="1"/>
  <c r="AC127" i="1"/>
  <c r="AE127" i="1" s="1"/>
  <c r="AD127" i="1"/>
  <c r="AF127" i="1"/>
  <c r="AG127" i="1" s="1"/>
  <c r="AH127" i="1"/>
  <c r="AC1694" i="4"/>
  <c r="AC1695" i="4"/>
  <c r="AC1697" i="4"/>
  <c r="AD1698" i="4"/>
  <c r="AI1698" i="4" s="1"/>
  <c r="AD1699" i="4"/>
  <c r="AC1700" i="4"/>
  <c r="AD1701" i="4"/>
  <c r="AB1702" i="4"/>
  <c r="AD1703" i="4"/>
  <c r="AC1705" i="4"/>
  <c r="AA1695" i="4"/>
  <c r="AA1698" i="4"/>
  <c r="AA1699" i="4"/>
  <c r="AA1700" i="4"/>
  <c r="AA1703" i="4"/>
  <c r="AA1704" i="4"/>
  <c r="AH1706" i="4"/>
  <c r="M1706" i="4"/>
  <c r="G1706" i="4"/>
  <c r="C1706" i="4"/>
  <c r="B1706" i="4"/>
  <c r="AH1705" i="4"/>
  <c r="AA1705" i="4"/>
  <c r="M1705" i="4"/>
  <c r="G1705" i="4"/>
  <c r="C1705" i="4"/>
  <c r="B1705" i="4"/>
  <c r="AH1704" i="4"/>
  <c r="AD1704" i="4"/>
  <c r="AI1704" i="4" s="1"/>
  <c r="AC1704" i="4"/>
  <c r="AB1704" i="4"/>
  <c r="M1704" i="4"/>
  <c r="G1704" i="4"/>
  <c r="C1704" i="4"/>
  <c r="B1704" i="4"/>
  <c r="AH1703" i="4"/>
  <c r="AB1703" i="4"/>
  <c r="M1703" i="4"/>
  <c r="G1703" i="4"/>
  <c r="C1703" i="4"/>
  <c r="B1703" i="4"/>
  <c r="AH1702" i="4"/>
  <c r="AD1702" i="4"/>
  <c r="AC1702" i="4"/>
  <c r="AA1702" i="4"/>
  <c r="M1702" i="4"/>
  <c r="G1702" i="4"/>
  <c r="C1702" i="4"/>
  <c r="B1702" i="4"/>
  <c r="AH1701" i="4"/>
  <c r="AA1701" i="4"/>
  <c r="M1701" i="4"/>
  <c r="G1701" i="4"/>
  <c r="C1701" i="4"/>
  <c r="B1701" i="4"/>
  <c r="AH1700" i="4"/>
  <c r="AD1700" i="4"/>
  <c r="M1700" i="4"/>
  <c r="G1700" i="4"/>
  <c r="C1700" i="4"/>
  <c r="B1700" i="4"/>
  <c r="AH1699" i="4"/>
  <c r="AB1699" i="4"/>
  <c r="M1699" i="4"/>
  <c r="G1699" i="4"/>
  <c r="C1699" i="4"/>
  <c r="B1699" i="4"/>
  <c r="AH1698" i="4"/>
  <c r="AC1698" i="4"/>
  <c r="M1698" i="4"/>
  <c r="G1698" i="4"/>
  <c r="C1698" i="4"/>
  <c r="B1698" i="4"/>
  <c r="AH1697" i="4"/>
  <c r="AD1697" i="4"/>
  <c r="AA1697" i="4"/>
  <c r="M1697" i="4"/>
  <c r="G1697" i="4"/>
  <c r="C1697" i="4"/>
  <c r="B1697" i="4"/>
  <c r="A1697" i="4"/>
  <c r="A1698" i="4" s="1"/>
  <c r="A1699" i="4" s="1"/>
  <c r="A1700" i="4" s="1"/>
  <c r="A1701" i="4" s="1"/>
  <c r="A1702" i="4" s="1"/>
  <c r="A1703" i="4" s="1"/>
  <c r="A1704" i="4" s="1"/>
  <c r="A1705" i="4" s="1"/>
  <c r="A1706" i="4" s="1"/>
  <c r="AH1696" i="4"/>
  <c r="M1696" i="4"/>
  <c r="G1696" i="4"/>
  <c r="C1696" i="4"/>
  <c r="B1696" i="4"/>
  <c r="A1696" i="4"/>
  <c r="AH1695" i="4"/>
  <c r="M1695" i="4"/>
  <c r="G1695" i="4"/>
  <c r="C1695" i="4"/>
  <c r="B1695" i="4"/>
  <c r="A1695" i="4"/>
  <c r="AH1694" i="4"/>
  <c r="AD1694" i="4"/>
  <c r="AA1694" i="4"/>
  <c r="M1694" i="4"/>
  <c r="G1694" i="4"/>
  <c r="C1694" i="4"/>
  <c r="B1694" i="4"/>
  <c r="A1694" i="4"/>
  <c r="A124" i="7"/>
  <c r="C124" i="7"/>
  <c r="F124" i="7"/>
  <c r="G124" i="7" s="1"/>
  <c r="H124" i="7"/>
  <c r="B124" i="7" s="1"/>
  <c r="A123" i="7"/>
  <c r="B123" i="7"/>
  <c r="C123" i="7"/>
  <c r="F123" i="7"/>
  <c r="G123" i="7" s="1"/>
  <c r="H123" i="7"/>
  <c r="G126" i="6"/>
  <c r="I126" i="6"/>
  <c r="G125" i="6"/>
  <c r="I125" i="6"/>
  <c r="G124" i="6"/>
  <c r="I124" i="6"/>
  <c r="F126" i="1"/>
  <c r="AB126" i="1"/>
  <c r="AC126" i="1"/>
  <c r="AD126" i="1"/>
  <c r="AF126" i="1"/>
  <c r="AG126" i="1" s="1"/>
  <c r="AH126" i="1"/>
  <c r="AC1681" i="4"/>
  <c r="AD1682" i="4"/>
  <c r="AC1684" i="4"/>
  <c r="AD1685" i="4"/>
  <c r="AD1686" i="4"/>
  <c r="AI1686" i="4" s="1"/>
  <c r="AC1687" i="4"/>
  <c r="AD1688" i="4"/>
  <c r="AB1689" i="4"/>
  <c r="AC1690" i="4"/>
  <c r="AD1691" i="4"/>
  <c r="AB1692" i="4"/>
  <c r="AA1682" i="4"/>
  <c r="AA1684" i="4"/>
  <c r="AA1685" i="4"/>
  <c r="AA1687" i="4"/>
  <c r="AA1688" i="4"/>
  <c r="AA1689" i="4"/>
  <c r="AA1691" i="4"/>
  <c r="AA1692" i="4"/>
  <c r="AH1693" i="4"/>
  <c r="M1693" i="4"/>
  <c r="G1693" i="4"/>
  <c r="C1693" i="4"/>
  <c r="B1693" i="4"/>
  <c r="AH1692" i="4"/>
  <c r="AD1692" i="4"/>
  <c r="AI1692" i="4" s="1"/>
  <c r="AC1692" i="4"/>
  <c r="M1692" i="4"/>
  <c r="G1692" i="4"/>
  <c r="C1692" i="4"/>
  <c r="B1692" i="4"/>
  <c r="AH1691" i="4"/>
  <c r="AC1691" i="4"/>
  <c r="M1691" i="4"/>
  <c r="G1691" i="4"/>
  <c r="C1691" i="4"/>
  <c r="B1691" i="4"/>
  <c r="AH1690" i="4"/>
  <c r="AD1690" i="4"/>
  <c r="AA1690" i="4"/>
  <c r="M1690" i="4"/>
  <c r="G1690" i="4"/>
  <c r="C1690" i="4"/>
  <c r="B1690" i="4"/>
  <c r="AH1689" i="4"/>
  <c r="M1689" i="4"/>
  <c r="G1689" i="4"/>
  <c r="C1689" i="4"/>
  <c r="B1689" i="4"/>
  <c r="AH1688" i="4"/>
  <c r="M1688" i="4"/>
  <c r="G1688" i="4"/>
  <c r="C1688" i="4"/>
  <c r="B1688" i="4"/>
  <c r="AH1687" i="4"/>
  <c r="AD1687" i="4"/>
  <c r="AB1687" i="4"/>
  <c r="M1687" i="4"/>
  <c r="G1687" i="4"/>
  <c r="C1687" i="4"/>
  <c r="B1687" i="4"/>
  <c r="AH1686" i="4"/>
  <c r="AC1686" i="4"/>
  <c r="AA1686" i="4"/>
  <c r="M1686" i="4"/>
  <c r="G1686" i="4"/>
  <c r="C1686" i="4"/>
  <c r="B1686" i="4"/>
  <c r="AH1685" i="4"/>
  <c r="M1685" i="4"/>
  <c r="G1685" i="4"/>
  <c r="C1685" i="4"/>
  <c r="B1685" i="4"/>
  <c r="AH1684" i="4"/>
  <c r="AD1684" i="4"/>
  <c r="AB1684" i="4"/>
  <c r="M1684" i="4"/>
  <c r="G1684" i="4"/>
  <c r="C1684" i="4"/>
  <c r="B1684" i="4"/>
  <c r="AH1683" i="4"/>
  <c r="M1683" i="4"/>
  <c r="G1683" i="4"/>
  <c r="C1683" i="4"/>
  <c r="B1683" i="4"/>
  <c r="A1683" i="4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H1682" i="4"/>
  <c r="AB1682" i="4"/>
  <c r="M1682" i="4"/>
  <c r="G1682" i="4"/>
  <c r="C1682" i="4"/>
  <c r="B1682" i="4"/>
  <c r="A1682" i="4"/>
  <c r="AH1681" i="4"/>
  <c r="AD1681" i="4"/>
  <c r="AA1681" i="4"/>
  <c r="M1681" i="4"/>
  <c r="G1681" i="4"/>
  <c r="C1681" i="4"/>
  <c r="B1681" i="4"/>
  <c r="A1681" i="4"/>
  <c r="F125" i="1"/>
  <c r="AB125" i="1"/>
  <c r="AC125" i="1"/>
  <c r="AD125" i="1"/>
  <c r="AF125" i="1"/>
  <c r="AG125" i="1" s="1"/>
  <c r="AH125" i="1"/>
  <c r="H122" i="7"/>
  <c r="A122" i="7" s="1"/>
  <c r="G123" i="6"/>
  <c r="I123" i="6"/>
  <c r="F124" i="1"/>
  <c r="AB124" i="1"/>
  <c r="AC124" i="1"/>
  <c r="AD124" i="1"/>
  <c r="AF124" i="1"/>
  <c r="AG124" i="1" s="1"/>
  <c r="AH124" i="1"/>
  <c r="AB1668" i="4"/>
  <c r="AD1669" i="4"/>
  <c r="AA1671" i="4"/>
  <c r="AC1672" i="4"/>
  <c r="AD1673" i="4"/>
  <c r="AB1674" i="4"/>
  <c r="AD1675" i="4"/>
  <c r="AD1676" i="4"/>
  <c r="AB1677" i="4"/>
  <c r="AD1678" i="4"/>
  <c r="AC1679" i="4"/>
  <c r="AA1669" i="4"/>
  <c r="AA1672" i="4"/>
  <c r="AA1674" i="4"/>
  <c r="AA1675" i="4"/>
  <c r="AA1676" i="4"/>
  <c r="AA1677" i="4"/>
  <c r="AA1678" i="4"/>
  <c r="AH1680" i="4"/>
  <c r="M1680" i="4"/>
  <c r="G1680" i="4"/>
  <c r="C1680" i="4"/>
  <c r="B1680" i="4"/>
  <c r="AH1679" i="4"/>
  <c r="AD1679" i="4"/>
  <c r="AB1679" i="4"/>
  <c r="AA1679" i="4"/>
  <c r="M1679" i="4"/>
  <c r="G1679" i="4"/>
  <c r="C1679" i="4"/>
  <c r="B1679" i="4"/>
  <c r="AH1678" i="4"/>
  <c r="AC1678" i="4"/>
  <c r="M1678" i="4"/>
  <c r="G1678" i="4"/>
  <c r="C1678" i="4"/>
  <c r="B1678" i="4"/>
  <c r="AH1677" i="4"/>
  <c r="AC1677" i="4"/>
  <c r="M1677" i="4"/>
  <c r="G1677" i="4"/>
  <c r="C1677" i="4"/>
  <c r="B1677" i="4"/>
  <c r="AH1676" i="4"/>
  <c r="AC1676" i="4"/>
  <c r="M1676" i="4"/>
  <c r="G1676" i="4"/>
  <c r="C1676" i="4"/>
  <c r="B1676" i="4"/>
  <c r="AH1675" i="4"/>
  <c r="AC1675" i="4"/>
  <c r="M1675" i="4"/>
  <c r="G1675" i="4"/>
  <c r="C1675" i="4"/>
  <c r="B1675" i="4"/>
  <c r="AH1674" i="4"/>
  <c r="AD1674" i="4"/>
  <c r="AC1674" i="4"/>
  <c r="M1674" i="4"/>
  <c r="G1674" i="4"/>
  <c r="C1674" i="4"/>
  <c r="B1674" i="4"/>
  <c r="AH1673" i="4"/>
  <c r="M1673" i="4"/>
  <c r="G1673" i="4"/>
  <c r="C1673" i="4"/>
  <c r="B1673" i="4"/>
  <c r="AH1672" i="4"/>
  <c r="AD1672" i="4"/>
  <c r="M1672" i="4"/>
  <c r="G1672" i="4"/>
  <c r="C1672" i="4"/>
  <c r="B1672" i="4"/>
  <c r="AH1671" i="4"/>
  <c r="AD1671" i="4"/>
  <c r="AB1671" i="4"/>
  <c r="M1671" i="4"/>
  <c r="G1671" i="4"/>
  <c r="C1671" i="4"/>
  <c r="B1671" i="4"/>
  <c r="AH1670" i="4"/>
  <c r="M1670" i="4"/>
  <c r="G1670" i="4"/>
  <c r="C1670" i="4"/>
  <c r="B1670" i="4"/>
  <c r="AH1669" i="4"/>
  <c r="AC1669" i="4"/>
  <c r="M1669" i="4"/>
  <c r="G1669" i="4"/>
  <c r="C1669" i="4"/>
  <c r="B1669" i="4"/>
  <c r="AH1668" i="4"/>
  <c r="AC1668" i="4"/>
  <c r="AA1668" i="4"/>
  <c r="M1668" i="4"/>
  <c r="G1668" i="4"/>
  <c r="C1668" i="4"/>
  <c r="B1668" i="4"/>
  <c r="AH1667" i="4"/>
  <c r="M1667" i="4"/>
  <c r="G1667" i="4"/>
  <c r="C1667" i="4"/>
  <c r="B1667" i="4"/>
  <c r="AH1666" i="4"/>
  <c r="M1666" i="4"/>
  <c r="G1666" i="4"/>
  <c r="C1666" i="4"/>
  <c r="B1666" i="4"/>
  <c r="AH1665" i="4"/>
  <c r="M1665" i="4"/>
  <c r="G1665" i="4"/>
  <c r="C1665" i="4"/>
  <c r="B1665" i="4"/>
  <c r="AH1664" i="4"/>
  <c r="M1664" i="4"/>
  <c r="G1664" i="4"/>
  <c r="C1664" i="4"/>
  <c r="B1664" i="4"/>
  <c r="AH1663" i="4"/>
  <c r="M1663" i="4"/>
  <c r="G1663" i="4"/>
  <c r="C1663" i="4"/>
  <c r="B1663" i="4"/>
  <c r="AH1662" i="4"/>
  <c r="M1662" i="4"/>
  <c r="G1662" i="4"/>
  <c r="C1662" i="4"/>
  <c r="B1662" i="4"/>
  <c r="AH1661" i="4"/>
  <c r="M1661" i="4"/>
  <c r="G1661" i="4"/>
  <c r="C1661" i="4"/>
  <c r="B1661" i="4"/>
  <c r="AH1660" i="4"/>
  <c r="M1660" i="4"/>
  <c r="G1660" i="4"/>
  <c r="C1660" i="4"/>
  <c r="B1660" i="4"/>
  <c r="AH1659" i="4"/>
  <c r="M1659" i="4"/>
  <c r="G1659" i="4"/>
  <c r="C1659" i="4"/>
  <c r="B1659" i="4"/>
  <c r="AH1658" i="4"/>
  <c r="M1658" i="4"/>
  <c r="G1658" i="4"/>
  <c r="C1658" i="4"/>
  <c r="B1658" i="4"/>
  <c r="AH1657" i="4"/>
  <c r="M1657" i="4"/>
  <c r="G1657" i="4"/>
  <c r="C1657" i="4"/>
  <c r="B1657" i="4"/>
  <c r="AH1656" i="4"/>
  <c r="M1656" i="4"/>
  <c r="G1656" i="4"/>
  <c r="C1656" i="4"/>
  <c r="B1656" i="4"/>
  <c r="AH1655" i="4"/>
  <c r="M1655" i="4"/>
  <c r="G1655" i="4"/>
  <c r="C1655" i="4"/>
  <c r="B1655" i="4"/>
  <c r="A1655" i="4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B121" i="7"/>
  <c r="C121" i="7"/>
  <c r="H121" i="7"/>
  <c r="A121" i="7" s="1"/>
  <c r="G122" i="6"/>
  <c r="I122" i="6"/>
  <c r="F123" i="1"/>
  <c r="AB123" i="1"/>
  <c r="AC123" i="1"/>
  <c r="AD123" i="1"/>
  <c r="AF123" i="1"/>
  <c r="AG123" i="1" s="1"/>
  <c r="AH123" i="1"/>
  <c r="AB1642" i="4"/>
  <c r="AC1643" i="4"/>
  <c r="AC1645" i="4"/>
  <c r="AD1646" i="4"/>
  <c r="AD1647" i="4"/>
  <c r="AD1648" i="4"/>
  <c r="AC1649" i="4"/>
  <c r="AD1650" i="4"/>
  <c r="AC1651" i="4"/>
  <c r="AC1652" i="4"/>
  <c r="AC1653" i="4"/>
  <c r="AA1642" i="4"/>
  <c r="AA1643" i="4"/>
  <c r="AA1645" i="4"/>
  <c r="AA1647" i="4"/>
  <c r="AA1648" i="4"/>
  <c r="AA1649" i="4"/>
  <c r="AA1652" i="4"/>
  <c r="AH1654" i="4"/>
  <c r="M1654" i="4"/>
  <c r="G1654" i="4"/>
  <c r="C1654" i="4"/>
  <c r="B1654" i="4"/>
  <c r="AH1653" i="4"/>
  <c r="AA1653" i="4"/>
  <c r="M1653" i="4"/>
  <c r="G1653" i="4"/>
  <c r="C1653" i="4"/>
  <c r="B1653" i="4"/>
  <c r="AH1652" i="4"/>
  <c r="M1652" i="4"/>
  <c r="G1652" i="4"/>
  <c r="C1652" i="4"/>
  <c r="B1652" i="4"/>
  <c r="AH1651" i="4"/>
  <c r="AD1651" i="4"/>
  <c r="AA1651" i="4"/>
  <c r="M1651" i="4"/>
  <c r="G1651" i="4"/>
  <c r="C1651" i="4"/>
  <c r="B1651" i="4"/>
  <c r="AH1650" i="4"/>
  <c r="AB1650" i="4"/>
  <c r="AA1650" i="4"/>
  <c r="M1650" i="4"/>
  <c r="G1650" i="4"/>
  <c r="C1650" i="4"/>
  <c r="B1650" i="4"/>
  <c r="AH1649" i="4"/>
  <c r="AD1649" i="4"/>
  <c r="M1649" i="4"/>
  <c r="G1649" i="4"/>
  <c r="C1649" i="4"/>
  <c r="B1649" i="4"/>
  <c r="AH1648" i="4"/>
  <c r="AC1648" i="4"/>
  <c r="AB1648" i="4"/>
  <c r="M1648" i="4"/>
  <c r="G1648" i="4"/>
  <c r="C1648" i="4"/>
  <c r="B1648" i="4"/>
  <c r="AH1647" i="4"/>
  <c r="AC1647" i="4"/>
  <c r="M1647" i="4"/>
  <c r="G1647" i="4"/>
  <c r="C1647" i="4"/>
  <c r="B1647" i="4"/>
  <c r="AH1646" i="4"/>
  <c r="AA1646" i="4"/>
  <c r="M1646" i="4"/>
  <c r="G1646" i="4"/>
  <c r="C1646" i="4"/>
  <c r="B1646" i="4"/>
  <c r="AH1645" i="4"/>
  <c r="AD1645" i="4"/>
  <c r="M1645" i="4"/>
  <c r="G1645" i="4"/>
  <c r="C1645" i="4"/>
  <c r="B1645" i="4"/>
  <c r="AH1644" i="4"/>
  <c r="M1644" i="4"/>
  <c r="G1644" i="4"/>
  <c r="C1644" i="4"/>
  <c r="B1644" i="4"/>
  <c r="AH1643" i="4"/>
  <c r="AD1643" i="4"/>
  <c r="M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G1642" i="4"/>
  <c r="C1642" i="4"/>
  <c r="B1642" i="4"/>
  <c r="A1642" i="4"/>
  <c r="H120" i="7"/>
  <c r="A120" i="7" s="1"/>
  <c r="G121" i="6"/>
  <c r="I121" i="6"/>
  <c r="F122" i="1"/>
  <c r="AB122" i="1"/>
  <c r="AC122" i="1"/>
  <c r="AD122" i="1"/>
  <c r="AF122" i="1"/>
  <c r="AG122" i="1" s="1"/>
  <c r="AH122" i="1"/>
  <c r="AD1629" i="4"/>
  <c r="AB1630" i="4"/>
  <c r="AD1632" i="4"/>
  <c r="AB1633" i="4"/>
  <c r="AD1634" i="4"/>
  <c r="AB1635" i="4"/>
  <c r="AD1636" i="4"/>
  <c r="AD1637" i="4"/>
  <c r="AA1638" i="4"/>
  <c r="AD1639" i="4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G120" i="6"/>
  <c r="I120" i="6"/>
  <c r="F121" i="1"/>
  <c r="AB121" i="1"/>
  <c r="AC121" i="1"/>
  <c r="AD121" i="1"/>
  <c r="AF121" i="1"/>
  <c r="AG121" i="1" s="1"/>
  <c r="AH121" i="1"/>
  <c r="AD1616" i="4"/>
  <c r="AD1617" i="4"/>
  <c r="AC1619" i="4"/>
  <c r="AD1620" i="4"/>
  <c r="AC1621" i="4"/>
  <c r="AC1622" i="4"/>
  <c r="AD1623" i="4"/>
  <c r="AD1624" i="4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G119" i="6"/>
  <c r="I119" i="6"/>
  <c r="F120" i="1"/>
  <c r="AB120" i="1"/>
  <c r="AC120" i="1"/>
  <c r="AD120" i="1"/>
  <c r="AF120" i="1"/>
  <c r="AG120" i="1" s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Z29" i="3"/>
  <c r="Y29" i="3"/>
  <c r="X29" i="3"/>
  <c r="W29" i="3"/>
  <c r="N29" i="3"/>
  <c r="M29" i="3"/>
  <c r="AE29" i="3" s="1"/>
  <c r="G29" i="3"/>
  <c r="Z28" i="3"/>
  <c r="AC28" i="3" s="1"/>
  <c r="Y28" i="3"/>
  <c r="X28" i="3"/>
  <c r="W28" i="3"/>
  <c r="N28" i="3"/>
  <c r="M28" i="3"/>
  <c r="AE28" i="3" s="1"/>
  <c r="G28" i="3"/>
  <c r="Z27" i="3"/>
  <c r="Y27" i="3"/>
  <c r="X27" i="3"/>
  <c r="W27" i="3"/>
  <c r="N27" i="3"/>
  <c r="M27" i="3"/>
  <c r="AE27" i="3" s="1"/>
  <c r="G27" i="3"/>
  <c r="C117" i="7"/>
  <c r="F117" i="7"/>
  <c r="G117" i="7" s="1"/>
  <c r="H117" i="7"/>
  <c r="A117" i="7" s="1"/>
  <c r="G118" i="6"/>
  <c r="I118" i="6"/>
  <c r="F119" i="1"/>
  <c r="AB119" i="1"/>
  <c r="AC119" i="1"/>
  <c r="AD119" i="1"/>
  <c r="AF119" i="1"/>
  <c r="AG119" i="1" s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I117" i="6"/>
  <c r="F118" i="1"/>
  <c r="AB118" i="1"/>
  <c r="AC118" i="1"/>
  <c r="AD118" i="1"/>
  <c r="AF118" i="1"/>
  <c r="AG118" i="1" s="1"/>
  <c r="AH118" i="1"/>
  <c r="G46" i="11"/>
  <c r="M46" i="11"/>
  <c r="P46" i="11"/>
  <c r="W46" i="11"/>
  <c r="X46" i="11"/>
  <c r="Y46" i="11"/>
  <c r="AD46" i="11"/>
  <c r="H115" i="7"/>
  <c r="A115" i="7" s="1"/>
  <c r="G116" i="6"/>
  <c r="I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D117" i="1"/>
  <c r="AF117" i="1"/>
  <c r="AG117" i="1" s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G115" i="6"/>
  <c r="I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G114" i="6"/>
  <c r="I114" i="6"/>
  <c r="AB1731" i="4" l="1"/>
  <c r="AB1730" i="4"/>
  <c r="AC1730" i="4"/>
  <c r="AB1727" i="4"/>
  <c r="AC1727" i="4"/>
  <c r="K1725" i="4"/>
  <c r="AB1725" i="4"/>
  <c r="AC1725" i="4"/>
  <c r="K1723" i="4"/>
  <c r="AB1723" i="4"/>
  <c r="AI1722" i="4"/>
  <c r="AB1722" i="4"/>
  <c r="AC1722" i="4"/>
  <c r="K1721" i="4"/>
  <c r="AI1721" i="4"/>
  <c r="AI1716" i="4"/>
  <c r="AI1711" i="4"/>
  <c r="AA1728" i="4"/>
  <c r="AB1728" i="4"/>
  <c r="AI1678" i="4"/>
  <c r="AI1717" i="4"/>
  <c r="AI1708" i="4"/>
  <c r="AC1728" i="4"/>
  <c r="AB1732" i="4"/>
  <c r="AI1676" i="4"/>
  <c r="AI1707" i="4"/>
  <c r="AI1715" i="4"/>
  <c r="AI1699" i="4"/>
  <c r="AI1718" i="4"/>
  <c r="AE126" i="1"/>
  <c r="AE117" i="1"/>
  <c r="AC29" i="3"/>
  <c r="AC27" i="3"/>
  <c r="AB1718" i="4"/>
  <c r="AC1717" i="4"/>
  <c r="AB1716" i="4"/>
  <c r="AB1713" i="4"/>
  <c r="AA1713" i="4"/>
  <c r="AC1713" i="4"/>
  <c r="AB1711" i="4"/>
  <c r="AC1711" i="4"/>
  <c r="AB1710" i="4"/>
  <c r="AB1708" i="4"/>
  <c r="AI1674" i="4"/>
  <c r="AI1685" i="4"/>
  <c r="AI1697" i="4"/>
  <c r="AI1702" i="4"/>
  <c r="AA1715" i="4"/>
  <c r="AI1626" i="4"/>
  <c r="AI1684" i="4"/>
  <c r="AB1715" i="4"/>
  <c r="AI1675" i="4"/>
  <c r="AI1691" i="4"/>
  <c r="AI1682" i="4"/>
  <c r="AI1700" i="4"/>
  <c r="AI1703" i="4"/>
  <c r="AA1714" i="4"/>
  <c r="AC1715" i="4"/>
  <c r="AB1714" i="4"/>
  <c r="AI1672" i="4"/>
  <c r="AI1673" i="4"/>
  <c r="AI1687" i="4"/>
  <c r="AI1694" i="4"/>
  <c r="AI1701" i="4"/>
  <c r="AC1714" i="4"/>
  <c r="AI1681" i="4"/>
  <c r="AI1690" i="4"/>
  <c r="AI1688" i="4"/>
  <c r="AD1705" i="4"/>
  <c r="AI1705" i="4" s="1"/>
  <c r="AB1705" i="4"/>
  <c r="AC1703" i="4"/>
  <c r="AB1701" i="4"/>
  <c r="AC1701" i="4"/>
  <c r="AB1700" i="4"/>
  <c r="AC1699" i="4"/>
  <c r="AB1698" i="4"/>
  <c r="AB1697" i="4"/>
  <c r="AB1695" i="4"/>
  <c r="AD1695" i="4"/>
  <c r="AI1695" i="4" s="1"/>
  <c r="AB1694" i="4"/>
  <c r="AB1691" i="4"/>
  <c r="AB1690" i="4"/>
  <c r="AC1689" i="4"/>
  <c r="AD1689" i="4"/>
  <c r="AI1689" i="4" s="1"/>
  <c r="AB1688" i="4"/>
  <c r="AC1688" i="4"/>
  <c r="AB1686" i="4"/>
  <c r="AB1685" i="4"/>
  <c r="AC1685" i="4"/>
  <c r="AC1682" i="4"/>
  <c r="AB1681" i="4"/>
  <c r="AE125" i="1"/>
  <c r="AE124" i="1"/>
  <c r="F122" i="7"/>
  <c r="G122" i="7" s="1"/>
  <c r="C122" i="7"/>
  <c r="B122" i="7"/>
  <c r="AE123" i="1"/>
  <c r="AI1679" i="4"/>
  <c r="AB1678" i="4"/>
  <c r="AD1677" i="4"/>
  <c r="AI1677" i="4" s="1"/>
  <c r="AB1676" i="4"/>
  <c r="AB1675" i="4"/>
  <c r="AB1672" i="4"/>
  <c r="AC1671" i="4"/>
  <c r="AI1671" i="4"/>
  <c r="AI1669" i="4"/>
  <c r="AB1669" i="4"/>
  <c r="AD1668" i="4"/>
  <c r="AI1668" i="4" s="1"/>
  <c r="AA1673" i="4"/>
  <c r="AB1673" i="4"/>
  <c r="AI1651" i="4"/>
  <c r="AC1673" i="4"/>
  <c r="AI1623" i="4"/>
  <c r="AI1645" i="4"/>
  <c r="AI1636" i="4"/>
  <c r="AI1620" i="4"/>
  <c r="AI1650" i="4"/>
  <c r="AI1630" i="4"/>
  <c r="AI1638" i="4"/>
  <c r="AI1634" i="4"/>
  <c r="AI1617" i="4"/>
  <c r="AI1643" i="4"/>
  <c r="AI1648" i="4"/>
  <c r="AI1632" i="4"/>
  <c r="AI1647" i="4"/>
  <c r="AI1619" i="4"/>
  <c r="AI1624" i="4"/>
  <c r="AI1633" i="4"/>
  <c r="AI1639" i="4"/>
  <c r="AI1646" i="4"/>
  <c r="AI1629" i="4"/>
  <c r="AI1637" i="4"/>
  <c r="AI1649" i="4"/>
  <c r="F121" i="7"/>
  <c r="G121" i="7" s="1"/>
  <c r="AE122" i="1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3" i="4"/>
  <c r="AD1642" i="4"/>
  <c r="AI1642" i="4" s="1"/>
  <c r="F120" i="7"/>
  <c r="G120" i="7" s="1"/>
  <c r="C120" i="7"/>
  <c r="B120" i="7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AE121" i="1"/>
  <c r="AE120" i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AE119" i="1"/>
  <c r="AB1600" i="4"/>
  <c r="AA1591" i="4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AB46" i="11"/>
  <c r="F115" i="7"/>
  <c r="G115" i="7" s="1"/>
  <c r="C115" i="7"/>
  <c r="B115" i="7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AB1557" i="4"/>
  <c r="AC1557" i="4"/>
  <c r="AC1555" i="4"/>
  <c r="AD1555" i="4"/>
  <c r="AI1555" i="4" s="1"/>
  <c r="AI1552" i="4"/>
  <c r="AB1551" i="4"/>
  <c r="AD1551" i="4"/>
  <c r="AI1551" i="4" s="1"/>
  <c r="F115" i="1" l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I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AI1437" i="4" l="1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C24" i="3" l="1"/>
  <c r="AI1234" i="4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Z20" i="3"/>
  <c r="Y20" i="3"/>
  <c r="X20" i="3"/>
  <c r="W20" i="3"/>
  <c r="N20" i="3"/>
  <c r="M20" i="3"/>
  <c r="AE20" i="3" s="1"/>
  <c r="G20" i="3"/>
  <c r="C20" i="3"/>
  <c r="B20" i="3"/>
  <c r="Z19" i="3"/>
  <c r="Y19" i="3"/>
  <c r="X19" i="3"/>
  <c r="W19" i="3"/>
  <c r="N19" i="3"/>
  <c r="M19" i="3"/>
  <c r="AE19" i="3" s="1"/>
  <c r="G19" i="3"/>
  <c r="C19" i="3"/>
  <c r="B19" i="3"/>
  <c r="AE18" i="3"/>
  <c r="Z18" i="3"/>
  <c r="Y18" i="3"/>
  <c r="X18" i="3"/>
  <c r="W18" i="3"/>
  <c r="N18" i="3"/>
  <c r="M18" i="3"/>
  <c r="G18" i="3"/>
  <c r="C18" i="3"/>
  <c r="B18" i="3"/>
  <c r="Z17" i="3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Z15" i="3"/>
  <c r="Y15" i="3"/>
  <c r="X15" i="3"/>
  <c r="W15" i="3"/>
  <c r="N15" i="3"/>
  <c r="M15" i="3"/>
  <c r="AE15" i="3" s="1"/>
  <c r="G15" i="3"/>
  <c r="C15" i="3"/>
  <c r="Z14" i="3"/>
  <c r="Y14" i="3"/>
  <c r="X14" i="3"/>
  <c r="W14" i="3"/>
  <c r="N14" i="3"/>
  <c r="M14" i="3"/>
  <c r="AE14" i="3" s="1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B7" i="3"/>
  <c r="C7" i="3"/>
  <c r="G7" i="3"/>
  <c r="N7" i="3"/>
  <c r="W7" i="3"/>
  <c r="X7" i="3"/>
  <c r="Y7" i="3"/>
  <c r="Z7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C14" i="3" l="1"/>
  <c r="AC17" i="3"/>
  <c r="AC15" i="3"/>
  <c r="AC18" i="3"/>
  <c r="AC19" i="3"/>
  <c r="AC20" i="3"/>
  <c r="AI928" i="4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C5" i="3" l="1"/>
  <c r="AE48" i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M476" i="3"/>
  <c r="AE476" i="3" s="1"/>
  <c r="Z475" i="3"/>
  <c r="Y475" i="3"/>
  <c r="X475" i="3"/>
  <c r="W475" i="3"/>
  <c r="N475" i="3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M452" i="3"/>
  <c r="AE452" i="3" s="1"/>
  <c r="Z451" i="3"/>
  <c r="Y451" i="3"/>
  <c r="X451" i="3"/>
  <c r="W451" i="3"/>
  <c r="N451" i="3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Z399" i="3"/>
  <c r="AC399" i="3" s="1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Y325" i="3"/>
  <c r="X325" i="3"/>
  <c r="W325" i="3"/>
  <c r="N325" i="3"/>
  <c r="M325" i="3"/>
  <c r="AE325" i="3" s="1"/>
  <c r="Z324" i="3"/>
  <c r="Y324" i="3"/>
  <c r="X324" i="3"/>
  <c r="W324" i="3"/>
  <c r="N324" i="3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Z319" i="3"/>
  <c r="AC319" i="3" s="1"/>
  <c r="Y319" i="3"/>
  <c r="X319" i="3"/>
  <c r="W319" i="3"/>
  <c r="N319" i="3"/>
  <c r="M319" i="3"/>
  <c r="AE319" i="3" s="1"/>
  <c r="Z318" i="3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Z303" i="3"/>
  <c r="AC303" i="3" s="1"/>
  <c r="Y303" i="3"/>
  <c r="X303" i="3"/>
  <c r="W303" i="3"/>
  <c r="N303" i="3"/>
  <c r="M303" i="3"/>
  <c r="AE303" i="3" s="1"/>
  <c r="Z302" i="3"/>
  <c r="Y302" i="3"/>
  <c r="X302" i="3"/>
  <c r="W302" i="3"/>
  <c r="N302" i="3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M295" i="3"/>
  <c r="AE295" i="3" s="1"/>
  <c r="Z294" i="3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Y255" i="3"/>
  <c r="X255" i="3"/>
  <c r="W255" i="3"/>
  <c r="N255" i="3"/>
  <c r="M255" i="3"/>
  <c r="AE255" i="3" s="1"/>
  <c r="Z254" i="3"/>
  <c r="Y254" i="3"/>
  <c r="X254" i="3"/>
  <c r="W254" i="3"/>
  <c r="N254" i="3"/>
  <c r="M254" i="3"/>
  <c r="AE254" i="3" s="1"/>
  <c r="Z253" i="3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Z231" i="3"/>
  <c r="AC231" i="3" s="1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M219" i="3"/>
  <c r="AE219" i="3" s="1"/>
  <c r="Z218" i="3"/>
  <c r="AC218" i="3" s="1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M215" i="3"/>
  <c r="AE215" i="3" s="1"/>
  <c r="Z214" i="3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Y197" i="3"/>
  <c r="X197" i="3"/>
  <c r="W197" i="3"/>
  <c r="N197" i="3"/>
  <c r="M197" i="3"/>
  <c r="AE197" i="3" s="1"/>
  <c r="Z196" i="3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Y181" i="3"/>
  <c r="X181" i="3"/>
  <c r="W181" i="3"/>
  <c r="N181" i="3"/>
  <c r="M181" i="3"/>
  <c r="AE181" i="3" s="1"/>
  <c r="Z180" i="3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Z172" i="3"/>
  <c r="Y172" i="3"/>
  <c r="X172" i="3"/>
  <c r="W172" i="3"/>
  <c r="N172" i="3"/>
  <c r="AC172" i="3" s="1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Y165" i="3"/>
  <c r="X165" i="3"/>
  <c r="W165" i="3"/>
  <c r="N165" i="3"/>
  <c r="M165" i="3"/>
  <c r="AE165" i="3" s="1"/>
  <c r="Z164" i="3"/>
  <c r="Y164" i="3"/>
  <c r="X164" i="3"/>
  <c r="W164" i="3"/>
  <c r="N164" i="3"/>
  <c r="M164" i="3"/>
  <c r="AE164" i="3" s="1"/>
  <c r="Z163" i="3"/>
  <c r="Y163" i="3"/>
  <c r="X163" i="3"/>
  <c r="W163" i="3"/>
  <c r="N163" i="3"/>
  <c r="M163" i="3"/>
  <c r="AE163" i="3" s="1"/>
  <c r="Z162" i="3"/>
  <c r="Y162" i="3"/>
  <c r="X162" i="3"/>
  <c r="W162" i="3"/>
  <c r="N162" i="3"/>
  <c r="M162" i="3"/>
  <c r="AE162" i="3" s="1"/>
  <c r="Z161" i="3"/>
  <c r="Y161" i="3"/>
  <c r="X161" i="3"/>
  <c r="W161" i="3"/>
  <c r="N161" i="3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Y157" i="3"/>
  <c r="X157" i="3"/>
  <c r="W157" i="3"/>
  <c r="N157" i="3"/>
  <c r="M157" i="3"/>
  <c r="AE157" i="3" s="1"/>
  <c r="Z156" i="3"/>
  <c r="Y156" i="3"/>
  <c r="X156" i="3"/>
  <c r="W156" i="3"/>
  <c r="N156" i="3"/>
  <c r="M156" i="3"/>
  <c r="AE156" i="3" s="1"/>
  <c r="Z155" i="3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Y151" i="3"/>
  <c r="X151" i="3"/>
  <c r="W151" i="3"/>
  <c r="N151" i="3"/>
  <c r="M151" i="3"/>
  <c r="AE151" i="3" s="1"/>
  <c r="Z150" i="3"/>
  <c r="Y150" i="3"/>
  <c r="X150" i="3"/>
  <c r="W150" i="3"/>
  <c r="N150" i="3"/>
  <c r="M150" i="3"/>
  <c r="AE150" i="3" s="1"/>
  <c r="Z149" i="3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Y126" i="3"/>
  <c r="X126" i="3"/>
  <c r="W126" i="3"/>
  <c r="N126" i="3"/>
  <c r="M126" i="3"/>
  <c r="AE126" i="3" s="1"/>
  <c r="Z125" i="3"/>
  <c r="Y125" i="3"/>
  <c r="X125" i="3"/>
  <c r="W125" i="3"/>
  <c r="N125" i="3"/>
  <c r="M125" i="3"/>
  <c r="AE125" i="3" s="1"/>
  <c r="Z124" i="3"/>
  <c r="Y124" i="3"/>
  <c r="X124" i="3"/>
  <c r="W124" i="3"/>
  <c r="N124" i="3"/>
  <c r="M124" i="3"/>
  <c r="AE124" i="3" s="1"/>
  <c r="Z123" i="3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Y118" i="3"/>
  <c r="X118" i="3"/>
  <c r="W118" i="3"/>
  <c r="N118" i="3"/>
  <c r="M118" i="3"/>
  <c r="AE118" i="3" s="1"/>
  <c r="Z117" i="3"/>
  <c r="AC117" i="3" s="1"/>
  <c r="Y117" i="3"/>
  <c r="X117" i="3"/>
  <c r="W117" i="3"/>
  <c r="N117" i="3"/>
  <c r="M117" i="3"/>
  <c r="AE117" i="3" s="1"/>
  <c r="Z116" i="3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M114" i="3"/>
  <c r="AE114" i="3" s="1"/>
  <c r="Z113" i="3"/>
  <c r="Y113" i="3"/>
  <c r="X113" i="3"/>
  <c r="W113" i="3"/>
  <c r="N113" i="3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Y93" i="3"/>
  <c r="X93" i="3"/>
  <c r="W93" i="3"/>
  <c r="N93" i="3"/>
  <c r="M93" i="3"/>
  <c r="AE93" i="3" s="1"/>
  <c r="Z92" i="3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Z53" i="3"/>
  <c r="AC53" i="3" s="1"/>
  <c r="Y53" i="3"/>
  <c r="X53" i="3"/>
  <c r="W53" i="3"/>
  <c r="N53" i="3"/>
  <c r="M53" i="3"/>
  <c r="AE53" i="3" s="1"/>
  <c r="Z52" i="3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AC31" i="3" s="1"/>
  <c r="Y31" i="3"/>
  <c r="X31" i="3"/>
  <c r="W31" i="3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N1" i="6"/>
  <c r="M1" i="6"/>
  <c r="L1" i="6"/>
  <c r="K1" i="6"/>
  <c r="J1" i="6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L112" i="6" l="1"/>
  <c r="L121" i="6"/>
  <c r="L114" i="6"/>
  <c r="L115" i="6"/>
  <c r="L120" i="6"/>
  <c r="L124" i="6"/>
  <c r="L118" i="6"/>
  <c r="L116" i="6"/>
  <c r="L117" i="6"/>
  <c r="L123" i="6"/>
  <c r="L122" i="6"/>
  <c r="L119" i="6"/>
  <c r="L126" i="6"/>
  <c r="L125" i="6"/>
  <c r="L113" i="6"/>
  <c r="M112" i="6"/>
  <c r="P112" i="6" s="1"/>
  <c r="P111" i="7" s="1"/>
  <c r="M126" i="6"/>
  <c r="M125" i="6"/>
  <c r="M118" i="6"/>
  <c r="M117" i="6"/>
  <c r="M116" i="6"/>
  <c r="M121" i="6"/>
  <c r="M114" i="6"/>
  <c r="M115" i="6"/>
  <c r="M120" i="6"/>
  <c r="M124" i="6"/>
  <c r="M122" i="6"/>
  <c r="M119" i="6"/>
  <c r="M123" i="6"/>
  <c r="M113" i="6"/>
  <c r="N112" i="6"/>
  <c r="N123" i="6"/>
  <c r="N122" i="6"/>
  <c r="N119" i="6"/>
  <c r="N126" i="6"/>
  <c r="N125" i="6"/>
  <c r="N118" i="6"/>
  <c r="N117" i="6"/>
  <c r="N116" i="6"/>
  <c r="N114" i="6"/>
  <c r="N121" i="6"/>
  <c r="N115" i="6"/>
  <c r="N120" i="6"/>
  <c r="N124" i="6"/>
  <c r="N113" i="6"/>
  <c r="K112" i="6"/>
  <c r="K115" i="6"/>
  <c r="K120" i="6"/>
  <c r="K124" i="6"/>
  <c r="K119" i="6"/>
  <c r="K123" i="6"/>
  <c r="K122" i="6"/>
  <c r="K114" i="6"/>
  <c r="K126" i="6"/>
  <c r="K125" i="6"/>
  <c r="K118" i="6"/>
  <c r="K117" i="6"/>
  <c r="K116" i="6"/>
  <c r="K121" i="6"/>
  <c r="K113" i="6"/>
  <c r="O112" i="6"/>
  <c r="O114" i="6"/>
  <c r="O123" i="6"/>
  <c r="O122" i="6"/>
  <c r="O119" i="6"/>
  <c r="O126" i="6"/>
  <c r="O125" i="6"/>
  <c r="O118" i="6"/>
  <c r="O117" i="6"/>
  <c r="O116" i="6"/>
  <c r="O121" i="6"/>
  <c r="O115" i="6"/>
  <c r="O120" i="6"/>
  <c r="O124" i="6"/>
  <c r="O113" i="6"/>
  <c r="J112" i="6"/>
  <c r="J120" i="6"/>
  <c r="J115" i="6"/>
  <c r="J124" i="6"/>
  <c r="J118" i="6"/>
  <c r="J116" i="6"/>
  <c r="J123" i="6"/>
  <c r="J122" i="6"/>
  <c r="J119" i="6"/>
  <c r="J126" i="6"/>
  <c r="J125" i="6"/>
  <c r="J117" i="6"/>
  <c r="J121" i="6"/>
  <c r="J114" i="6"/>
  <c r="J113" i="6"/>
  <c r="AC219" i="3"/>
  <c r="AC223" i="3"/>
  <c r="AC286" i="3"/>
  <c r="AC274" i="3"/>
  <c r="AC290" i="3"/>
  <c r="AC294" i="3"/>
  <c r="AC124" i="3"/>
  <c r="AC156" i="3"/>
  <c r="AC162" i="3"/>
  <c r="AC233" i="3"/>
  <c r="AC253" i="3"/>
  <c r="AC259" i="3"/>
  <c r="AC263" i="3"/>
  <c r="AC267" i="3"/>
  <c r="AC306" i="3"/>
  <c r="AC310" i="3"/>
  <c r="AC314" i="3"/>
  <c r="AC318" i="3"/>
  <c r="AC180" i="3"/>
  <c r="AC186" i="3"/>
  <c r="AC196" i="3"/>
  <c r="AC85" i="3"/>
  <c r="AC113" i="3"/>
  <c r="AC123" i="3"/>
  <c r="AC137" i="3"/>
  <c r="AC151" i="3"/>
  <c r="AC155" i="3"/>
  <c r="AC161" i="3"/>
  <c r="AC169" i="3"/>
  <c r="AC242" i="3"/>
  <c r="AC37" i="3"/>
  <c r="AC118" i="3"/>
  <c r="AC126" i="3"/>
  <c r="AC140" i="3"/>
  <c r="AC142" i="3"/>
  <c r="AC150" i="3"/>
  <c r="AC164" i="3"/>
  <c r="AC227" i="3"/>
  <c r="AC244" i="3"/>
  <c r="AC254" i="3"/>
  <c r="AC258" i="3"/>
  <c r="AC277" i="3"/>
  <c r="AC174" i="3"/>
  <c r="AC214" i="3"/>
  <c r="AC295" i="3"/>
  <c r="AC324" i="3"/>
  <c r="AC61" i="3"/>
  <c r="AC93" i="3"/>
  <c r="AC210" i="3"/>
  <c r="AC235" i="3"/>
  <c r="AC44" i="3"/>
  <c r="AC50" i="3"/>
  <c r="AC52" i="3"/>
  <c r="AC125" i="3"/>
  <c r="AC133" i="3"/>
  <c r="AC149" i="3"/>
  <c r="AC157" i="3"/>
  <c r="AC163" i="3"/>
  <c r="AC165" i="3"/>
  <c r="AC251" i="3"/>
  <c r="AC255" i="3"/>
  <c r="AC282" i="3"/>
  <c r="AC422" i="3"/>
  <c r="AC430" i="3"/>
  <c r="AC438" i="3"/>
  <c r="AC452" i="3"/>
  <c r="AC476" i="3"/>
  <c r="AC484" i="3"/>
  <c r="AC76" i="3"/>
  <c r="AC82" i="3"/>
  <c r="AC92" i="3"/>
  <c r="AC108" i="3"/>
  <c r="AC114" i="3"/>
  <c r="AC116" i="3"/>
  <c r="AC181" i="3"/>
  <c r="AC197" i="3"/>
  <c r="AC215" i="3"/>
  <c r="AC238" i="3"/>
  <c r="AC288" i="3"/>
  <c r="AC302" i="3"/>
  <c r="AC321" i="3"/>
  <c r="AC325" i="3"/>
  <c r="AC335" i="3"/>
  <c r="AC343" i="3"/>
  <c r="AC347" i="3"/>
  <c r="AC351" i="3"/>
  <c r="AC355" i="3"/>
  <c r="AC375" i="3"/>
  <c r="AC383" i="3"/>
  <c r="AC395" i="3"/>
  <c r="AC69" i="3"/>
  <c r="AC101" i="3"/>
  <c r="AC308" i="3"/>
  <c r="AC312" i="3"/>
  <c r="AC316" i="3"/>
  <c r="AC405" i="3"/>
  <c r="AC409" i="3"/>
  <c r="AC413" i="3"/>
  <c r="AC433" i="3"/>
  <c r="AC451" i="3"/>
  <c r="AC467" i="3"/>
  <c r="AC475" i="3"/>
  <c r="AC487" i="3"/>
  <c r="AC491" i="3"/>
  <c r="AC503" i="3"/>
  <c r="AC507" i="3"/>
  <c r="AC511" i="3"/>
  <c r="AC519" i="3"/>
  <c r="AC523" i="3"/>
  <c r="AC555" i="3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Q112" i="6" l="1"/>
  <c r="U111" i="7" s="1"/>
  <c r="P114" i="6"/>
  <c r="P113" i="7" s="1"/>
  <c r="Q114" i="6"/>
  <c r="P123" i="6"/>
  <c r="Q123" i="6"/>
  <c r="S122" i="7" s="1"/>
  <c r="P113" i="6"/>
  <c r="K112" i="7" s="1"/>
  <c r="Q113" i="6"/>
  <c r="Q122" i="6"/>
  <c r="P122" i="6"/>
  <c r="K121" i="7" s="1"/>
  <c r="O117" i="7"/>
  <c r="R112" i="7"/>
  <c r="Q121" i="6"/>
  <c r="U120" i="7" s="1"/>
  <c r="P121" i="6"/>
  <c r="P116" i="6"/>
  <c r="P115" i="7" s="1"/>
  <c r="Q116" i="6"/>
  <c r="Q115" i="7" s="1"/>
  <c r="N112" i="7"/>
  <c r="T112" i="7"/>
  <c r="Q118" i="6"/>
  <c r="P118" i="6"/>
  <c r="L117" i="7" s="1"/>
  <c r="K115" i="7"/>
  <c r="S112" i="7"/>
  <c r="P117" i="6"/>
  <c r="Q117" i="6"/>
  <c r="Q124" i="6"/>
  <c r="Q123" i="7" s="1"/>
  <c r="P124" i="6"/>
  <c r="P123" i="7" s="1"/>
  <c r="J123" i="7"/>
  <c r="O120" i="7"/>
  <c r="O121" i="7"/>
  <c r="U121" i="7"/>
  <c r="K123" i="7"/>
  <c r="T120" i="7"/>
  <c r="M123" i="7"/>
  <c r="S117" i="7"/>
  <c r="R121" i="7"/>
  <c r="R113" i="7"/>
  <c r="L113" i="7"/>
  <c r="M120" i="7"/>
  <c r="P125" i="6"/>
  <c r="Q125" i="6"/>
  <c r="R124" i="7" s="1"/>
  <c r="Q115" i="6"/>
  <c r="T114" i="7" s="1"/>
  <c r="P115" i="6"/>
  <c r="P114" i="7" s="1"/>
  <c r="T121" i="7"/>
  <c r="S119" i="7"/>
  <c r="S124" i="7"/>
  <c r="R122" i="7"/>
  <c r="R120" i="7"/>
  <c r="Q126" i="6"/>
  <c r="S125" i="7" s="1"/>
  <c r="P126" i="6"/>
  <c r="O125" i="7" s="1"/>
  <c r="J125" i="7"/>
  <c r="Q120" i="6"/>
  <c r="T119" i="7" s="1"/>
  <c r="P120" i="6"/>
  <c r="P119" i="7" s="1"/>
  <c r="O115" i="7"/>
  <c r="O113" i="7"/>
  <c r="U113" i="7"/>
  <c r="T113" i="7"/>
  <c r="N113" i="7"/>
  <c r="N122" i="7"/>
  <c r="T122" i="7"/>
  <c r="M125" i="7"/>
  <c r="R116" i="7"/>
  <c r="T116" i="7"/>
  <c r="N116" i="7"/>
  <c r="Q119" i="6"/>
  <c r="U118" i="7" s="1"/>
  <c r="P119" i="6"/>
  <c r="M118" i="7" s="1"/>
  <c r="U116" i="7"/>
  <c r="K125" i="7"/>
  <c r="N115" i="7"/>
  <c r="M113" i="7"/>
  <c r="L115" i="7"/>
  <c r="A8" i="3"/>
  <c r="A9" i="3" s="1"/>
  <c r="A10" i="3" s="1"/>
  <c r="A11" i="3" s="1"/>
  <c r="A12" i="3" s="1"/>
  <c r="A13" i="3" s="1"/>
  <c r="A14" i="3" s="1"/>
  <c r="A15" i="3" s="1"/>
  <c r="A16" i="3" s="1"/>
  <c r="A17" i="3" s="1"/>
  <c r="A6" i="3"/>
  <c r="A7" i="3" s="1"/>
  <c r="S111" i="7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Q92" i="6"/>
  <c r="R91" i="7" s="1"/>
  <c r="P92" i="6"/>
  <c r="P91" i="7" s="1"/>
  <c r="Q102" i="6"/>
  <c r="S101" i="7" s="1"/>
  <c r="P102" i="6"/>
  <c r="P101" i="7" s="1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S120" i="7" l="1"/>
  <c r="U114" i="7"/>
  <c r="U125" i="7"/>
  <c r="U124" i="7"/>
  <c r="N119" i="7"/>
  <c r="T123" i="7"/>
  <c r="K119" i="7"/>
  <c r="K117" i="7"/>
  <c r="J112" i="7"/>
  <c r="R114" i="7"/>
  <c r="L118" i="7"/>
  <c r="N125" i="7"/>
  <c r="R119" i="7"/>
  <c r="R123" i="7"/>
  <c r="T118" i="7"/>
  <c r="M115" i="7"/>
  <c r="K113" i="7"/>
  <c r="M124" i="7"/>
  <c r="P124" i="7"/>
  <c r="J116" i="7"/>
  <c r="P116" i="7"/>
  <c r="J122" i="7"/>
  <c r="P122" i="7"/>
  <c r="T115" i="7"/>
  <c r="J119" i="7"/>
  <c r="S123" i="7"/>
  <c r="T125" i="7"/>
  <c r="J117" i="7"/>
  <c r="P117" i="7"/>
  <c r="L125" i="7"/>
  <c r="J121" i="7"/>
  <c r="J113" i="7"/>
  <c r="L116" i="7"/>
  <c r="L122" i="7"/>
  <c r="O122" i="7"/>
  <c r="L114" i="7"/>
  <c r="R117" i="7"/>
  <c r="Q117" i="7"/>
  <c r="R125" i="7"/>
  <c r="K122" i="7"/>
  <c r="J120" i="7"/>
  <c r="P120" i="7"/>
  <c r="L121" i="7"/>
  <c r="P121" i="7"/>
  <c r="L124" i="7"/>
  <c r="K120" i="7"/>
  <c r="S113" i="7"/>
  <c r="Q113" i="7"/>
  <c r="O116" i="7"/>
  <c r="K114" i="7"/>
  <c r="Q119" i="7"/>
  <c r="J114" i="7"/>
  <c r="N118" i="7"/>
  <c r="N114" i="7"/>
  <c r="S115" i="7"/>
  <c r="Q120" i="7"/>
  <c r="S121" i="7"/>
  <c r="Q121" i="7"/>
  <c r="K124" i="7"/>
  <c r="M122" i="7"/>
  <c r="O124" i="7"/>
  <c r="R115" i="7"/>
  <c r="J118" i="7"/>
  <c r="Q125" i="7"/>
  <c r="P125" i="7"/>
  <c r="M119" i="7"/>
  <c r="S114" i="7"/>
  <c r="Q114" i="7"/>
  <c r="N120" i="7"/>
  <c r="R118" i="7"/>
  <c r="O119" i="7"/>
  <c r="L112" i="7"/>
  <c r="Q112" i="7"/>
  <c r="N117" i="7"/>
  <c r="U123" i="7"/>
  <c r="K118" i="7"/>
  <c r="P118" i="7"/>
  <c r="M114" i="7"/>
  <c r="J124" i="7"/>
  <c r="M116" i="7"/>
  <c r="O118" i="7"/>
  <c r="N124" i="7"/>
  <c r="U119" i="7"/>
  <c r="M112" i="7"/>
  <c r="P112" i="7"/>
  <c r="T117" i="7"/>
  <c r="O123" i="7"/>
  <c r="O112" i="7"/>
  <c r="S118" i="7"/>
  <c r="Q118" i="7"/>
  <c r="U115" i="7"/>
  <c r="L120" i="7"/>
  <c r="N121" i="7"/>
  <c r="Q124" i="7"/>
  <c r="M117" i="7"/>
  <c r="K116" i="7"/>
  <c r="S116" i="7"/>
  <c r="Q116" i="7"/>
  <c r="M121" i="7"/>
  <c r="O114" i="7"/>
  <c r="L119" i="7"/>
  <c r="T124" i="7"/>
  <c r="J115" i="7"/>
  <c r="U117" i="7"/>
  <c r="L123" i="7"/>
  <c r="N123" i="7"/>
  <c r="U122" i="7"/>
  <c r="Q122" i="7"/>
  <c r="U112" i="7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U94" i="7"/>
  <c r="S95" i="7"/>
  <c r="M97" i="7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I15" i="4"/>
  <c r="X31" i="4"/>
  <c r="W43" i="4"/>
  <c r="X32" i="4"/>
  <c r="J26" i="4"/>
  <c r="W33" i="4"/>
  <c r="J6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J42" i="4" l="1"/>
  <c r="K42" i="4" s="1"/>
  <c r="X45" i="4"/>
  <c r="W45" i="4"/>
  <c r="AB45" i="4" s="1"/>
  <c r="I39" i="4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A45" i="4" l="1"/>
  <c r="AC45" i="4"/>
  <c r="AI5" i="4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957" i="4" l="1"/>
  <c r="K803" i="4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28" i="1" l="1"/>
  <c r="B128" i="1"/>
  <c r="I1715" i="4"/>
  <c r="J30" i="3"/>
  <c r="X1719" i="4"/>
  <c r="J1708" i="4"/>
  <c r="I30" i="3"/>
  <c r="I47" i="11"/>
  <c r="J1709" i="4"/>
  <c r="J1717" i="4"/>
  <c r="I1713" i="4"/>
  <c r="I1716" i="4"/>
  <c r="J1711" i="4"/>
  <c r="X1709" i="4"/>
  <c r="J1707" i="4"/>
  <c r="J1713" i="4"/>
  <c r="K1713" i="4" s="1"/>
  <c r="I1707" i="4"/>
  <c r="J47" i="11"/>
  <c r="I1714" i="4"/>
  <c r="I1710" i="4"/>
  <c r="I1718" i="4"/>
  <c r="J1719" i="4"/>
  <c r="J1712" i="4"/>
  <c r="J1714" i="4"/>
  <c r="K1714" i="4" s="1"/>
  <c r="I1719" i="4"/>
  <c r="J1715" i="4"/>
  <c r="K1715" i="4" s="1"/>
  <c r="I1712" i="4"/>
  <c r="I1709" i="4"/>
  <c r="J1710" i="4"/>
  <c r="J1716" i="4"/>
  <c r="I1708" i="4"/>
  <c r="I1717" i="4"/>
  <c r="W1719" i="4"/>
  <c r="W1709" i="4"/>
  <c r="I1711" i="4"/>
  <c r="J1718" i="4"/>
  <c r="K1718" i="4" s="1"/>
  <c r="A127" i="1"/>
  <c r="B127" i="1"/>
  <c r="I1697" i="4"/>
  <c r="W1696" i="4"/>
  <c r="J1699" i="4"/>
  <c r="I1704" i="4"/>
  <c r="J1695" i="4"/>
  <c r="I1703" i="4"/>
  <c r="J1694" i="4"/>
  <c r="J1700" i="4"/>
  <c r="I1698" i="4"/>
  <c r="J1698" i="4"/>
  <c r="I1702" i="4"/>
  <c r="J1706" i="4"/>
  <c r="I1695" i="4"/>
  <c r="J1702" i="4"/>
  <c r="I1694" i="4"/>
  <c r="X1706" i="4"/>
  <c r="W1706" i="4"/>
  <c r="J1701" i="4"/>
  <c r="J1697" i="4"/>
  <c r="I1699" i="4"/>
  <c r="X1696" i="4"/>
  <c r="J1704" i="4"/>
  <c r="J1703" i="4"/>
  <c r="I1700" i="4"/>
  <c r="J1696" i="4"/>
  <c r="I1705" i="4"/>
  <c r="I1696" i="4"/>
  <c r="I1706" i="4"/>
  <c r="I1701" i="4"/>
  <c r="J1705" i="4"/>
  <c r="A126" i="1"/>
  <c r="B126" i="1"/>
  <c r="X1693" i="4"/>
  <c r="W1693" i="4"/>
  <c r="I1688" i="4"/>
  <c r="J1691" i="4"/>
  <c r="I1693" i="4"/>
  <c r="I1692" i="4"/>
  <c r="J1686" i="4"/>
  <c r="I1686" i="4"/>
  <c r="I1687" i="4"/>
  <c r="J1693" i="4"/>
  <c r="J1682" i="4"/>
  <c r="I1681" i="4"/>
  <c r="J1692" i="4"/>
  <c r="J1690" i="4"/>
  <c r="I1690" i="4"/>
  <c r="I1685" i="4"/>
  <c r="I1691" i="4"/>
  <c r="X1683" i="4"/>
  <c r="I1683" i="4"/>
  <c r="J1685" i="4"/>
  <c r="W1683" i="4"/>
  <c r="I1682" i="4"/>
  <c r="J1688" i="4"/>
  <c r="I1684" i="4"/>
  <c r="J1684" i="4"/>
  <c r="J1683" i="4"/>
  <c r="J1689" i="4"/>
  <c r="J1687" i="4"/>
  <c r="J1681" i="4"/>
  <c r="I1689" i="4"/>
  <c r="A125" i="1"/>
  <c r="B125" i="1"/>
  <c r="A124" i="1"/>
  <c r="B124" i="1"/>
  <c r="AA1658" i="4"/>
  <c r="I1672" i="4"/>
  <c r="I1677" i="4"/>
  <c r="I1678" i="4"/>
  <c r="I1670" i="4"/>
  <c r="AA1665" i="4"/>
  <c r="AA1655" i="4"/>
  <c r="J1680" i="4"/>
  <c r="W1680" i="4"/>
  <c r="AA1666" i="4"/>
  <c r="I1667" i="4"/>
  <c r="I1660" i="4"/>
  <c r="I1669" i="4"/>
  <c r="J1663" i="4"/>
  <c r="J1672" i="4"/>
  <c r="I1675" i="4"/>
  <c r="J1660" i="4"/>
  <c r="I1662" i="4"/>
  <c r="J1671" i="4"/>
  <c r="J1674" i="4"/>
  <c r="AA1656" i="4"/>
  <c r="X1667" i="4"/>
  <c r="AA1659" i="4"/>
  <c r="J1675" i="4"/>
  <c r="K1675" i="4" s="1"/>
  <c r="J1665" i="4"/>
  <c r="I1659" i="4"/>
  <c r="J1655" i="4"/>
  <c r="I1663" i="4"/>
  <c r="J1679" i="4"/>
  <c r="J1666" i="4"/>
  <c r="AA1664" i="4"/>
  <c r="I1674" i="4"/>
  <c r="I1676" i="4"/>
  <c r="I1668" i="4"/>
  <c r="I1671" i="4"/>
  <c r="I1658" i="4"/>
  <c r="I1664" i="4"/>
  <c r="J1664" i="4"/>
  <c r="I1679" i="4"/>
  <c r="J1676" i="4"/>
  <c r="J1668" i="4"/>
  <c r="I1655" i="4"/>
  <c r="W1657" i="4"/>
  <c r="I1661" i="4"/>
  <c r="AA1660" i="4"/>
  <c r="J1673" i="4"/>
  <c r="I1657" i="4"/>
  <c r="I1673" i="4"/>
  <c r="W1667" i="4"/>
  <c r="X1657" i="4"/>
  <c r="I1680" i="4"/>
  <c r="J1677" i="4"/>
  <c r="X1680" i="4"/>
  <c r="J1662" i="4"/>
  <c r="AA1662" i="4"/>
  <c r="I1656" i="4"/>
  <c r="X1670" i="4"/>
  <c r="J1661" i="4"/>
  <c r="J1669" i="4"/>
  <c r="W1670" i="4"/>
  <c r="J1667" i="4"/>
  <c r="AA1661" i="4"/>
  <c r="J1659" i="4"/>
  <c r="J1678" i="4"/>
  <c r="I1665" i="4"/>
  <c r="J1670" i="4"/>
  <c r="J1657" i="4"/>
  <c r="I1666" i="4"/>
  <c r="J1658" i="4"/>
  <c r="J1656" i="4"/>
  <c r="AA1663" i="4"/>
  <c r="A123" i="1"/>
  <c r="B123" i="1"/>
  <c r="I1643" i="4"/>
  <c r="W1644" i="4"/>
  <c r="J1648" i="4"/>
  <c r="J1645" i="4"/>
  <c r="I1652" i="4"/>
  <c r="I1646" i="4"/>
  <c r="I1648" i="4"/>
  <c r="J1649" i="4"/>
  <c r="J1643" i="4"/>
  <c r="K1643" i="4" s="1"/>
  <c r="W1654" i="4"/>
  <c r="X1644" i="4"/>
  <c r="I1653" i="4"/>
  <c r="J1644" i="4"/>
  <c r="J1652" i="4"/>
  <c r="I1650" i="4"/>
  <c r="I1645" i="4"/>
  <c r="J1654" i="4"/>
  <c r="J1646" i="4"/>
  <c r="I1647" i="4"/>
  <c r="I1651" i="4"/>
  <c r="I1649" i="4"/>
  <c r="X1654" i="4"/>
  <c r="J1651" i="4"/>
  <c r="J1653" i="4"/>
  <c r="I1644" i="4"/>
  <c r="J1647" i="4"/>
  <c r="I1642" i="4"/>
  <c r="I1654" i="4"/>
  <c r="J1650" i="4"/>
  <c r="J1642" i="4"/>
  <c r="A122" i="1"/>
  <c r="B122" i="1"/>
  <c r="J1632" i="4"/>
  <c r="I1638" i="4"/>
  <c r="J1634" i="4"/>
  <c r="J1637" i="4"/>
  <c r="W1631" i="4"/>
  <c r="I1633" i="4"/>
  <c r="J1633" i="4"/>
  <c r="I1639" i="4"/>
  <c r="J1639" i="4"/>
  <c r="X1641" i="4"/>
  <c r="I1641" i="4"/>
  <c r="J1640" i="4"/>
  <c r="X1631" i="4"/>
  <c r="AA1631" i="4" s="1"/>
  <c r="J1630" i="4"/>
  <c r="I1640" i="4"/>
  <c r="I1632" i="4"/>
  <c r="I1635" i="4"/>
  <c r="J1636" i="4"/>
  <c r="J1638" i="4"/>
  <c r="I1637" i="4"/>
  <c r="I1631" i="4"/>
  <c r="I1636" i="4"/>
  <c r="J1635" i="4"/>
  <c r="J1631" i="4"/>
  <c r="I1629" i="4"/>
  <c r="I1634" i="4"/>
  <c r="I1630" i="4"/>
  <c r="W1641" i="4"/>
  <c r="J1641" i="4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I1613" i="4"/>
  <c r="J1608" i="4"/>
  <c r="I1609" i="4"/>
  <c r="J1605" i="4"/>
  <c r="I29" i="3"/>
  <c r="I1614" i="4"/>
  <c r="J1614" i="4"/>
  <c r="I28" i="3"/>
  <c r="I1607" i="4"/>
  <c r="I1608" i="4"/>
  <c r="I27" i="3"/>
  <c r="J1603" i="4"/>
  <c r="J1604" i="4"/>
  <c r="I1610" i="4"/>
  <c r="J1606" i="4"/>
  <c r="J1610" i="4"/>
  <c r="I1606" i="4"/>
  <c r="J28" i="3"/>
  <c r="I1615" i="4"/>
  <c r="I1603" i="4"/>
  <c r="J27" i="3"/>
  <c r="I1604" i="4"/>
  <c r="J1613" i="4"/>
  <c r="J1615" i="4"/>
  <c r="I1612" i="4"/>
  <c r="J1609" i="4"/>
  <c r="I1605" i="4"/>
  <c r="I1611" i="4"/>
  <c r="J29" i="3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46" i="11"/>
  <c r="I1580" i="4"/>
  <c r="J46" i="11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K1580" i="4" s="1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F106" i="18"/>
  <c r="Y366" i="18"/>
  <c r="I460" i="3"/>
  <c r="I393" i="3"/>
  <c r="Z333" i="18"/>
  <c r="I138" i="18"/>
  <c r="L337" i="18"/>
  <c r="J486" i="11"/>
  <c r="X281" i="18"/>
  <c r="J264" i="11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30" i="3" l="1"/>
  <c r="K1697" i="4"/>
  <c r="K1716" i="4"/>
  <c r="K1712" i="4"/>
  <c r="K1707" i="4"/>
  <c r="K1719" i="4"/>
  <c r="AA1709" i="4"/>
  <c r="K1708" i="4"/>
  <c r="K1710" i="4"/>
  <c r="K1711" i="4"/>
  <c r="AA1719" i="4"/>
  <c r="K1705" i="4"/>
  <c r="AC1709" i="4"/>
  <c r="AD1709" i="4"/>
  <c r="AI1709" i="4" s="1"/>
  <c r="AB1709" i="4"/>
  <c r="K47" i="11"/>
  <c r="K1717" i="4"/>
  <c r="AD1719" i="4"/>
  <c r="AI1719" i="4" s="1"/>
  <c r="AC1719" i="4"/>
  <c r="AB1719" i="4"/>
  <c r="K1709" i="4"/>
  <c r="AA1696" i="4"/>
  <c r="K1704" i="4"/>
  <c r="K1702" i="4"/>
  <c r="K1681" i="4"/>
  <c r="K1699" i="4"/>
  <c r="AA1706" i="4"/>
  <c r="K1695" i="4"/>
  <c r="K1706" i="4"/>
  <c r="K1701" i="4"/>
  <c r="K1698" i="4"/>
  <c r="AB1696" i="4"/>
  <c r="AD1696" i="4"/>
  <c r="AI1696" i="4" s="1"/>
  <c r="AC1696" i="4"/>
  <c r="K1696" i="4"/>
  <c r="AD1706" i="4"/>
  <c r="AI1706" i="4" s="1"/>
  <c r="T124" i="18" s="1"/>
  <c r="AC1706" i="4"/>
  <c r="AB1706" i="4"/>
  <c r="K1700" i="4"/>
  <c r="K1703" i="4"/>
  <c r="K1694" i="4"/>
  <c r="K186" i="3"/>
  <c r="K1688" i="4"/>
  <c r="K1684" i="4"/>
  <c r="K1692" i="4"/>
  <c r="K1687" i="4"/>
  <c r="K1685" i="4"/>
  <c r="K1686" i="4"/>
  <c r="K1689" i="4"/>
  <c r="K1682" i="4"/>
  <c r="AA1683" i="4"/>
  <c r="K1693" i="4"/>
  <c r="K1690" i="4"/>
  <c r="AD1683" i="4"/>
  <c r="AI1683" i="4" s="1"/>
  <c r="AB1683" i="4"/>
  <c r="AC1683" i="4"/>
  <c r="K1691" i="4"/>
  <c r="K1683" i="4"/>
  <c r="AC1693" i="4"/>
  <c r="AD1693" i="4"/>
  <c r="AI1693" i="4" s="1"/>
  <c r="T123" i="18" s="1"/>
  <c r="AB1693" i="4"/>
  <c r="AA1693" i="4"/>
  <c r="K1656" i="4"/>
  <c r="K1638" i="4"/>
  <c r="AA1644" i="4"/>
  <c r="K1677" i="4"/>
  <c r="AA1657" i="4"/>
  <c r="K1667" i="4"/>
  <c r="K1662" i="4"/>
  <c r="AA1680" i="4"/>
  <c r="K1639" i="4"/>
  <c r="K1676" i="4"/>
  <c r="K1673" i="4"/>
  <c r="K1664" i="4"/>
  <c r="K1668" i="4"/>
  <c r="K1659" i="4"/>
  <c r="K1666" i="4"/>
  <c r="AA1667" i="4"/>
  <c r="K1663" i="4"/>
  <c r="K1658" i="4"/>
  <c r="K1661" i="4"/>
  <c r="K1642" i="4"/>
  <c r="AA1654" i="4"/>
  <c r="K1672" i="4"/>
  <c r="K1679" i="4"/>
  <c r="K1657" i="4"/>
  <c r="K1669" i="4"/>
  <c r="K1655" i="4"/>
  <c r="K1670" i="4"/>
  <c r="K1653" i="4"/>
  <c r="AA1670" i="4"/>
  <c r="K1665" i="4"/>
  <c r="K1660" i="4"/>
  <c r="K1680" i="4"/>
  <c r="K1652" i="4"/>
  <c r="K1678" i="4"/>
  <c r="K1674" i="4"/>
  <c r="K1671" i="4"/>
  <c r="AC1670" i="4"/>
  <c r="AD1670" i="4"/>
  <c r="AI1670" i="4" s="1"/>
  <c r="AB1670" i="4"/>
  <c r="AC1659" i="4"/>
  <c r="AD1659" i="4"/>
  <c r="AI1659" i="4" s="1"/>
  <c r="AB1659" i="4"/>
  <c r="AB1666" i="4"/>
  <c r="AD1666" i="4"/>
  <c r="AI1666" i="4" s="1"/>
  <c r="AC1666" i="4"/>
  <c r="AD1664" i="4"/>
  <c r="AI1664" i="4" s="1"/>
  <c r="AB1664" i="4"/>
  <c r="AC1664" i="4"/>
  <c r="AD1660" i="4"/>
  <c r="AI1660" i="4" s="1"/>
  <c r="AB1660" i="4"/>
  <c r="AC1660" i="4"/>
  <c r="AD1658" i="4"/>
  <c r="AI1658" i="4" s="1"/>
  <c r="AB1658" i="4"/>
  <c r="AC1658" i="4"/>
  <c r="AD1667" i="4"/>
  <c r="AI1667" i="4" s="1"/>
  <c r="AB1667" i="4"/>
  <c r="AC1667" i="4"/>
  <c r="AC1655" i="4"/>
  <c r="AD1655" i="4"/>
  <c r="AI1655" i="4" s="1"/>
  <c r="AB1655" i="4"/>
  <c r="AC1662" i="4"/>
  <c r="AD1662" i="4"/>
  <c r="AI1662" i="4" s="1"/>
  <c r="AB1662" i="4"/>
  <c r="AD1657" i="4"/>
  <c r="AI1657" i="4" s="1"/>
  <c r="AC1657" i="4"/>
  <c r="AB1657" i="4"/>
  <c r="AD1663" i="4"/>
  <c r="AI1663" i="4" s="1"/>
  <c r="AC1663" i="4"/>
  <c r="AB1663" i="4"/>
  <c r="AD1661" i="4"/>
  <c r="AI1661" i="4" s="1"/>
  <c r="AC1661" i="4"/>
  <c r="AB1661" i="4"/>
  <c r="AD1656" i="4"/>
  <c r="AI1656" i="4" s="1"/>
  <c r="AB1656" i="4"/>
  <c r="AC1656" i="4"/>
  <c r="AB1680" i="4"/>
  <c r="AD1680" i="4"/>
  <c r="AI1680" i="4" s="1"/>
  <c r="AC1680" i="4"/>
  <c r="AD1665" i="4"/>
  <c r="AI1665" i="4" s="1"/>
  <c r="AB1665" i="4"/>
  <c r="AC1665" i="4"/>
  <c r="K1651" i="4"/>
  <c r="K1654" i="4"/>
  <c r="K1649" i="4"/>
  <c r="K1641" i="4"/>
  <c r="K1650" i="4"/>
  <c r="K1644" i="4"/>
  <c r="K1645" i="4"/>
  <c r="K1648" i="4"/>
  <c r="K1647" i="4"/>
  <c r="K1646" i="4"/>
  <c r="AD1654" i="4"/>
  <c r="AI1654" i="4" s="1"/>
  <c r="AB1654" i="4"/>
  <c r="AC1654" i="4"/>
  <c r="AD1644" i="4"/>
  <c r="AI1644" i="4" s="1"/>
  <c r="AB1644" i="4"/>
  <c r="AC1644" i="4"/>
  <c r="K1640" i="4"/>
  <c r="K1629" i="4"/>
  <c r="K1635" i="4"/>
  <c r="K1630" i="4"/>
  <c r="AC1631" i="4"/>
  <c r="AD1631" i="4"/>
  <c r="AI1631" i="4" s="1"/>
  <c r="AB1631" i="4"/>
  <c r="AD1641" i="4"/>
  <c r="AI1641" i="4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AB1628" i="4"/>
  <c r="AC1628" i="4"/>
  <c r="K1621" i="4"/>
  <c r="K1624" i="4"/>
  <c r="K1623" i="4"/>
  <c r="K1622" i="4"/>
  <c r="K1626" i="4"/>
  <c r="K1613" i="4"/>
  <c r="K28" i="3"/>
  <c r="K1610" i="4"/>
  <c r="K1355" i="4"/>
  <c r="K1600" i="4"/>
  <c r="K126" i="11"/>
  <c r="K368" i="3"/>
  <c r="K1604" i="4"/>
  <c r="K411" i="11"/>
  <c r="K1611" i="4"/>
  <c r="K153" i="11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29" i="3"/>
  <c r="K27" i="3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46" i="11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45" i="11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22" i="18" l="1"/>
  <c r="T118" i="18"/>
  <c r="T120" i="18"/>
  <c r="T121" i="18"/>
  <c r="T119" i="18"/>
  <c r="T117" i="18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H113" i="6" s="1"/>
  <c r="B110" i="6"/>
  <c r="A113" i="6" l="1"/>
  <c r="H114" i="6"/>
  <c r="B113" i="6"/>
  <c r="C113" i="6"/>
  <c r="A112" i="6"/>
  <c r="B112" i="6"/>
  <c r="C112" i="6"/>
  <c r="A111" i="6"/>
  <c r="B111" i="6"/>
  <c r="C111" i="6"/>
  <c r="A114" i="6" l="1"/>
  <c r="B114" i="6"/>
  <c r="C114" i="6"/>
  <c r="H115" i="6"/>
  <c r="B115" i="6" l="1"/>
  <c r="A115" i="6"/>
  <c r="H116" i="6"/>
  <c r="C115" i="6"/>
  <c r="B116" i="6" l="1"/>
  <c r="A116" i="6"/>
  <c r="H117" i="6"/>
  <c r="C116" i="6"/>
  <c r="A117" i="6" l="1"/>
  <c r="H118" i="6"/>
  <c r="B117" i="6"/>
  <c r="C117" i="6"/>
  <c r="A118" i="6" l="1"/>
  <c r="B118" i="6"/>
  <c r="H119" i="6"/>
  <c r="C118" i="6"/>
  <c r="A119" i="6" l="1"/>
  <c r="C119" i="6"/>
  <c r="H120" i="6"/>
  <c r="B119" i="6"/>
  <c r="B120" i="6" l="1"/>
  <c r="H121" i="6"/>
  <c r="A120" i="6"/>
  <c r="C120" i="6"/>
  <c r="A121" i="6" l="1"/>
  <c r="H122" i="6"/>
  <c r="C121" i="6"/>
  <c r="B121" i="6"/>
  <c r="A122" i="6" l="1"/>
  <c r="C122" i="6"/>
  <c r="H123" i="6"/>
  <c r="B122" i="6"/>
  <c r="A123" i="6" l="1"/>
  <c r="H124" i="6"/>
  <c r="C123" i="6"/>
  <c r="B123" i="6"/>
  <c r="H125" i="6" l="1"/>
  <c r="A124" i="6"/>
  <c r="C124" i="6"/>
  <c r="B124" i="6"/>
  <c r="B125" i="6" l="1"/>
  <c r="H126" i="6"/>
  <c r="C125" i="6"/>
  <c r="A125" i="6"/>
  <c r="A126" i="6" l="1"/>
  <c r="H127" i="6"/>
  <c r="C126" i="6"/>
  <c r="B126" i="6"/>
  <c r="A127" i="6" l="1"/>
  <c r="B127" i="6"/>
  <c r="C127" i="6"/>
</calcChain>
</file>

<file path=xl/sharedStrings.xml><?xml version="1.0" encoding="utf-8"?>
<sst xmlns="http://schemas.openxmlformats.org/spreadsheetml/2006/main" count="22265" uniqueCount="531">
  <si>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</si>
  <si>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</si>
  <si>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</si>
  <si>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</si>
  <si>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</si>
  <si>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</si>
  <si>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</si>
  <si>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</si>
  <si>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</si>
  <si>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</si>
  <si>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</si>
  <si>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</si>
  <si>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</si>
  <si>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</si>
  <si>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</si>
  <si>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</si>
  <si>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</si>
  <si>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</si>
  <si>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</si>
  <si>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</si>
  <si>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</si>
  <si>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</si>
  <si>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</si>
  <si>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</si>
  <si>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</si>
  <si>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</si>
  <si>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</si>
  <si>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</si>
  <si>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</si>
  <si>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</si>
  <si>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</si>
  <si>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</si>
  <si>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</si>
  <si>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</si>
  <si>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</si>
  <si>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</si>
  <si>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</si>
  <si>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</si>
  <si>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</si>
  <si>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</si>
  <si>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</si>
  <si>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</si>
  <si>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</si>
  <si>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</si>
  <si>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</si>
  <si>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</si>
  <si>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</si>
  <si>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</si>
  <si>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</si>
  <si>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</si>
  <si>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</si>
  <si>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</si>
  <si>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</si>
  <si>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</si>
  <si>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</si>
  <si>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</si>
  <si>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</si>
  <si>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</si>
  <si>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</si>
  <si>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</si>
  <si>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</si>
  <si>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</si>
  <si>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</si>
  <si>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</si>
  <si>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</si>
  <si>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</si>
  <si>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</si>
  <si>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</si>
  <si>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</si>
  <si>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</si>
  <si>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</si>
  <si>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</si>
  <si>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</si>
  <si>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</si>
  <si>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</si>
  <si>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</si>
  <si>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</si>
  <si>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</si>
  <si>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</si>
  <si>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</si>
  <si>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</si>
  <si>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</si>
  <si>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</si>
  <si>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</si>
  <si>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</si>
  <si>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</si>
  <si>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</si>
  <si>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</si>
  <si>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</si>
  <si>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</si>
  <si>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</si>
  <si>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</si>
  <si>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</si>
  <si>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</si>
  <si>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</si>
  <si>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</si>
  <si>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</si>
  <si>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</si>
  <si>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</si>
  <si>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</si>
  <si>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</si>
  <si>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</si>
  <si>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</si>
  <si>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</si>
  <si>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</si>
  <si>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</si>
  <si>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</si>
  <si>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</si>
  <si>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</si>
  <si>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</si>
  <si>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</si>
  <si>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</si>
  <si>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</si>
  <si>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</si>
  <si>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</si>
  <si>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</si>
  <si>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</si>
  <si>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</si>
  <si>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</si>
  <si>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</si>
  <si>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</si>
  <si>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</si>
  <si>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</si>
  <si>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</si>
  <si>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</si>
  <si>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</si>
  <si>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</si>
  <si>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</si>
  <si>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</si>
  <si>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</si>
  <si>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</si>
  <si>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</si>
  <si>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</si>
  <si>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</si>
  <si>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</si>
  <si>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</si>
  <si>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</si>
  <si>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</si>
  <si>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</si>
  <si>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</si>
  <si>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</si>
  <si>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</si>
  <si>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</si>
  <si>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</si>
  <si>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</si>
  <si>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</si>
  <si>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</si>
  <si>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</si>
  <si>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</si>
  <si>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</si>
  <si>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</si>
  <si>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</si>
  <si>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</si>
  <si>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</si>
  <si>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</si>
  <si>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</si>
  <si>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</si>
  <si>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</si>
  <si>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</si>
  <si>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</si>
  <si>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</si>
  <si>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</si>
  <si>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</si>
  <si>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</si>
  <si>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</si>
  <si>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</si>
  <si>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</si>
  <si>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</si>
  <si>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</si>
  <si>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</si>
  <si>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</si>
  <si>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</si>
  <si>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</si>
  <si>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</si>
  <si>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</si>
  <si>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</si>
  <si>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</si>
  <si>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</si>
  <si>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</si>
  <si>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</si>
  <si>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</si>
  <si>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</si>
  <si>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</si>
  <si>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</si>
  <si>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</si>
  <si>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</si>
  <si>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</si>
  <si>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</si>
  <si>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</si>
  <si>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</si>
  <si>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</si>
  <si>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</si>
  <si>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</si>
  <si>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</si>
  <si>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</si>
  <si>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</si>
  <si>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</si>
  <si>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</si>
  <si>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</si>
  <si>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</si>
  <si>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</si>
  <si>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</si>
  <si>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</si>
  <si>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</si>
  <si>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</si>
  <si>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</si>
  <si>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</si>
  <si>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</si>
  <si>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</si>
  <si>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</si>
  <si>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</si>
  <si>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</si>
  <si>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</si>
  <si>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</si>
  <si>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</si>
  <si>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</si>
  <si>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</si>
  <si>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</si>
  <si>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</si>
  <si>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</si>
  <si>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</si>
  <si>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</si>
  <si>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</si>
  <si>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</si>
  <si>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</si>
  <si>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</si>
  <si>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</si>
  <si>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</si>
  <si>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</si>
  <si>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</si>
  <si>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</si>
  <si>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</si>
  <si>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</si>
  <si>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</si>
  <si>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</si>
  <si>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</si>
  <si>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</si>
  <si>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</si>
  <si>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</si>
  <si>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</si>
  <si>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</si>
  <si>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</si>
  <si>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</si>
  <si>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</si>
  <si>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</si>
  <si>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</si>
  <si>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</si>
  <si>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</si>
  <si>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</si>
  <si>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</si>
  <si>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</si>
  <si>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</si>
  <si>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</si>
  <si>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</si>
  <si>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</si>
  <si>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</si>
  <si>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</si>
  <si>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</si>
  <si>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</si>
  <si>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</si>
  <si>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</si>
  <si>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</si>
  <si>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</si>
  <si>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</si>
  <si>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</si>
  <si>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</si>
  <si>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</si>
  <si>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</si>
  <si>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</si>
  <si>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</si>
  <si>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</si>
  <si>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</si>
  <si>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</si>
  <si>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</si>
  <si>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</si>
  <si>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</si>
  <si>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</si>
  <si>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</si>
  <si>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</si>
  <si>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</si>
  <si>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</si>
  <si>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</si>
  <si>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</si>
  <si>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</si>
  <si>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</si>
  <si>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</si>
  <si>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</si>
  <si>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</si>
  <si>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</si>
  <si>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</si>
  <si>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</si>
  <si>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</si>
  <si>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</si>
  <si>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</si>
  <si>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</si>
  <si>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</si>
  <si>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</si>
  <si>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</si>
  <si>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</si>
  <si>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</si>
  <si>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</si>
  <si>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</si>
  <si>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</si>
  <si>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</si>
  <si>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</si>
  <si>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</si>
  <si>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</si>
  <si>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</si>
  <si>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</si>
  <si>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</si>
  <si>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</si>
  <si>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</si>
  <si>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</si>
  <si>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</si>
  <si>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</si>
  <si>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</si>
  <si>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</si>
  <si>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</si>
  <si>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</si>
  <si>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</si>
  <si>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</si>
  <si>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</si>
  <si>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</si>
  <si>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</si>
  <si>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</si>
  <si>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</si>
  <si>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</si>
  <si>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</si>
  <si>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</si>
  <si>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</si>
  <si>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</si>
  <si>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</si>
  <si>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</si>
  <si>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</si>
  <si>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</si>
  <si>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</si>
  <si>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</si>
  <si>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</si>
  <si>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</si>
  <si>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</si>
  <si>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</si>
  <si>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</si>
  <si>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</si>
  <si>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</si>
  <si>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</si>
  <si>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</si>
  <si>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</si>
  <si>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</si>
  <si>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</si>
  <si>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</si>
  <si>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</si>
  <si>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</si>
  <si>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</si>
  <si>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</si>
  <si>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</si>
  <si>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</si>
  <si>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</si>
  <si>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</si>
  <si>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</si>
  <si>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</si>
  <si>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</si>
  <si>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</si>
  <si>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</si>
  <si>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</si>
  <si>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</si>
  <si>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</si>
  <si>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</si>
  <si>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</si>
  <si>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</si>
  <si>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</si>
  <si>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</si>
  <si>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</si>
  <si>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</si>
  <si>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</si>
  <si>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</si>
  <si>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</si>
  <si>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</si>
  <si>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</si>
  <si>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</si>
  <si>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</si>
  <si>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</si>
  <si>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</si>
  <si>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</si>
  <si>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</si>
  <si>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</si>
  <si>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</si>
  <si>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</si>
  <si>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</si>
  <si>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</si>
  <si>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</si>
  <si>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</si>
  <si>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</si>
  <si>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</si>
  <si>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</si>
  <si>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</si>
  <si>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</si>
  <si>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</si>
  <si>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</si>
  <si>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</si>
  <si>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</si>
  <si>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</si>
  <si>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</si>
  <si>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</si>
  <si>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</si>
  <si>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</si>
  <si>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</si>
  <si>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</si>
  <si>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</si>
  <si>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</si>
  <si>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</si>
  <si>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</si>
  <si>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</si>
  <si>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</si>
  <si>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</si>
  <si>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</si>
  <si>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</si>
  <si>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</si>
  <si>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</si>
  <si>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</si>
  <si>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</si>
  <si>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</si>
  <si>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</si>
  <si>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</si>
  <si>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</si>
  <si>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</si>
  <si>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</si>
  <si>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</si>
  <si>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</si>
  <si>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</si>
  <si>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</si>
  <si>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</si>
  <si>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</si>
  <si>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</si>
  <si>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</si>
  <si>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</si>
  <si>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</si>
  <si>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</si>
  <si>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</si>
  <si>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</si>
  <si>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</si>
  <si>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</si>
  <si>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</si>
  <si>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</si>
  <si>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</si>
  <si>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</si>
  <si>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</si>
  <si>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</si>
  <si>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</si>
  <si>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</si>
  <si>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</si>
  <si>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</si>
  <si>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</si>
  <si>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</si>
  <si>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</si>
  <si>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</si>
  <si>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</si>
  <si>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</si>
  <si>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</si>
  <si>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</si>
  <si>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</si>
  <si>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</si>
  <si>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</si>
  <si>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</si>
  <si>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</si>
  <si>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</si>
  <si>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</si>
  <si>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</si>
  <si>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</si>
  <si>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</si>
  <si>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</si>
  <si>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</si>
  <si>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</si>
  <si>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</si>
  <si>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</si>
  <si>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</si>
  <si>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</si>
  <si>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</si>
  <si>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</si>
  <si>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</si>
  <si>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</si>
  <si>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</si>
  <si>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</si>
  <si>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</si>
  <si>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</si>
  <si>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</si>
  <si>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</si>
  <si>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</si>
  <si>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</si>
  <si>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</si>
  <si>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</si>
  <si>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</si>
  <si>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</si>
  <si>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</si>
  <si>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</si>
  <si>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</si>
  <si>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</si>
  <si>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</si>
  <si>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</si>
  <si>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</si>
  <si>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</si>
  <si>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</si>
  <si>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</si>
  <si>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</si>
  <si>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</si>
  <si>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</si>
  <si>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</si>
  <si>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</si>
  <si>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</si>
  <si>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</si>
  <si>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</si>
  <si>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</si>
  <si>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</si>
  <si>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</si>
  <si>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</si>
  <si>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</si>
  <si>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</si>
  <si>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</si>
  <si>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</si>
  <si>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</si>
  <si>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</si>
  <si>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</si>
  <si>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</si>
  <si>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</si>
  <si>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</si>
  <si>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</si>
  <si>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</si>
  <si>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</si>
  <si>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</si>
  <si>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</si>
  <si>
    <t>RESET</t>
  </si>
  <si>
    <t>RESETthe dc breaker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</si>
</sst>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" fontId="35" fillId="0" borderId="1" xfId="34040" applyNumberFormat="1" applyFont="1" applyFill="1" applyBorder="1" applyAlignment="1">
      <alignment horizontal="center" vertical="center"/>
    </xf>
    <xf numFmtId="0" fontId="35" fillId="0" borderId="1" xfId="34040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/>
    </xf>
    <xf numFmtId="17" fontId="35" fillId="0" borderId="1" xfId="0" applyNumberFormat="1" applyFont="1" applyFill="1" applyBorder="1"/>
    <xf numFmtId="15" fontId="35" fillId="0" borderId="1" xfId="0" applyNumberFormat="1" applyFont="1" applyFill="1" applyBorder="1"/>
    <xf numFmtId="0" fontId="0" fillId="0" borderId="0" xfId="0" applyNumberFormat="1" applyAlignment="1">
      <alignment horizontal="center"/>
    </xf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28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27" totalsRowShown="0">
  <autoFilter ref="A2:Q127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6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732" totalsRowShown="0">
  <autoFilter ref="A3:AK1732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sqref="A1:F1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45869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45.225500000013085</v>
      </c>
      <c r="E9" s="104">
        <f>-(C9-D9)/C9</f>
        <v>0.11111918749423845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1261.7822784269715</v>
      </c>
      <c r="D10" s="107">
        <f>'Monthly KPI'!$F$4</f>
        <v>1174.7493000000175</v>
      </c>
      <c r="E10" s="108">
        <f t="shared" ref="E10:E29" si="0">-(C10-D10)/C10</f>
        <v>-6.8976225070664032E-2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6619.5431833120601</v>
      </c>
      <c r="D11" s="110">
        <f>'Annual KPI'!$F$4</f>
        <v>5481.1321999999955</v>
      </c>
      <c r="E11" s="111">
        <f t="shared" si="0"/>
        <v>-0.1719772727190618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0.16078462741756638</v>
      </c>
      <c r="E12" s="104">
        <f t="shared" si="0"/>
        <v>0.11111918749423831</v>
      </c>
      <c r="F12" s="190"/>
    </row>
    <row r="13" spans="1:7">
      <c r="A13" s="229"/>
      <c r="B13" s="105" t="s">
        <v>15</v>
      </c>
      <c r="C13" s="114">
        <f>'Monthly KPI'!$I$4</f>
        <v>0.14470511285127108</v>
      </c>
      <c r="D13" s="115">
        <f>'Monthly KPI'!$J$4</f>
        <v>0.13472390041836596</v>
      </c>
      <c r="E13" s="108">
        <f t="shared" si="0"/>
        <v>-6.8976225070664074E-2</v>
      </c>
      <c r="F13" s="188"/>
    </row>
    <row r="14" spans="1:7" ht="15.75" thickBot="1">
      <c r="A14" s="230"/>
      <c r="B14" s="109" t="s">
        <v>16</v>
      </c>
      <c r="C14" s="114">
        <f>'Annual KPI'!$I$4</f>
        <v>0.1928987154539453</v>
      </c>
      <c r="D14" s="117">
        <f>'Annual KPI'!$J$4</f>
        <v>0.15972452045916544</v>
      </c>
      <c r="E14" s="111">
        <f t="shared" si="0"/>
        <v>-0.17197727271906185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0.75133003466152526</v>
      </c>
      <c r="E15" s="104">
        <f t="shared" si="0"/>
        <v>9.8799110021657735E-4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0.75485521428205637</v>
      </c>
      <c r="E16" s="108">
        <f t="shared" si="0"/>
        <v>5.6845456153203251E-3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0.72846718618151463</v>
      </c>
      <c r="D17" s="117">
        <f>'Annual KPI'!$H$4</f>
        <v>0.69272735014780595</v>
      </c>
      <c r="E17" s="111">
        <f t="shared" si="0"/>
        <v>-4.9061696548131487E-2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5.1360000000000001</v>
      </c>
      <c r="E18" s="104">
        <f t="shared" si="0"/>
        <v>0.11002249514799187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143.43493099999995</v>
      </c>
      <c r="D19" s="179">
        <f>'Monthly KPI'!$D$4</f>
        <v>132.78649999999999</v>
      </c>
      <c r="E19" s="108">
        <f t="shared" si="0"/>
        <v>-7.4238757084910956E-2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777.46793699999989</v>
      </c>
      <c r="D20" s="181">
        <f>'Annual KPI'!$D$4</f>
        <v>675.1189999999998</v>
      </c>
      <c r="E20" s="111">
        <f t="shared" si="0"/>
        <v>-0.13164393298961227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0.99772467070079296</v>
      </c>
      <c r="E21" s="104">
        <f t="shared" si="0"/>
        <v>2.7383625133597625E-3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0.99971911625911303</v>
      </c>
      <c r="E22" s="108">
        <f t="shared" si="0"/>
        <v>4.7428304111688767E-3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0.98975473626808463</v>
      </c>
      <c r="E23" s="111">
        <f t="shared" si="0"/>
        <v>-5.2716218411209669E-3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1</v>
      </c>
      <c r="E24" s="104">
        <f t="shared" si="0"/>
        <v>1.4713343480466724E-2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0.9887713297457682</v>
      </c>
      <c r="E25" s="108">
        <f t="shared" si="0"/>
        <v>3.3194619439555137E-3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0.96073715805339077</v>
      </c>
      <c r="E26" s="111">
        <f t="shared" si="0"/>
        <v>-2.5127186145722243E-2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0.98619071831376537</v>
      </c>
      <c r="E27" s="124">
        <f t="shared" si="0"/>
        <v>-8.8535494334016345E-3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0.98679789004595175</v>
      </c>
      <c r="E28" s="108">
        <f t="shared" si="0"/>
        <v>-8.2433265869831587E-3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0.98036785478255517</v>
      </c>
      <c r="E29" s="111">
        <f t="shared" si="0"/>
        <v>-1.4705673585371684E-2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45869</v>
      </c>
      <c r="D7" s="86">
        <f>'Daily Dashboard'!C9</f>
        <v>40.702654142805535</v>
      </c>
      <c r="E7" s="86">
        <f>'Daily Dashboard'!D9</f>
        <v>45.225500000013085</v>
      </c>
      <c r="F7" s="86">
        <f>D7-E7</f>
        <v>-4.5228458572075496</v>
      </c>
    </row>
    <row r="8" spans="2:6">
      <c r="B8" s="84" t="s">
        <v>38</v>
      </c>
      <c r="C8" s="85">
        <f t="shared" ref="C8:C30" si="0">$C$7</f>
        <v>45869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45869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45869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45869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45869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45869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45869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45869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45869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45869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45869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45869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45869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45869</v>
      </c>
      <c r="D21" s="84">
        <f>'Daily Dashboard'!C21*100</f>
        <v>99.5</v>
      </c>
      <c r="E21" s="84">
        <f>'Daily Dashboard'!D21*100</f>
        <v>99.772467070079301</v>
      </c>
      <c r="F21" s="84">
        <f>E21-D21</f>
        <v>0.27246707007930127</v>
      </c>
      <c r="G21" s="87">
        <f>(F21/100)*$D$7</f>
        <v>0.11090132918741358</v>
      </c>
    </row>
    <row r="22" spans="2:7">
      <c r="B22" s="84" t="s">
        <v>52</v>
      </c>
      <c r="C22" s="85">
        <f t="shared" si="0"/>
        <v>45869</v>
      </c>
      <c r="D22" s="84">
        <f>'Daily Dashboard'!C24*100</f>
        <v>98.550000000000011</v>
      </c>
      <c r="E22" s="84">
        <f>'Daily Dashboard'!D24*100</f>
        <v>100</v>
      </c>
      <c r="F22" s="84">
        <f>E22-D22</f>
        <v>1.4499999999999886</v>
      </c>
      <c r="G22" s="87">
        <f>(F22/100)*$D$7</f>
        <v>0.59018848507067567</v>
      </c>
    </row>
    <row r="23" spans="2:7">
      <c r="B23" s="84" t="s">
        <v>53</v>
      </c>
      <c r="C23" s="85">
        <f t="shared" si="0"/>
        <v>45869</v>
      </c>
      <c r="D23" s="84">
        <f>'Daily Dashboard'!C27*100</f>
        <v>99.5</v>
      </c>
      <c r="E23" s="84">
        <f>'Daily Dashboard'!D27*100</f>
        <v>98.61907183137653</v>
      </c>
      <c r="F23" s="84">
        <f>E23-D23</f>
        <v>-0.88092816862346979</v>
      </c>
      <c r="G23" s="87">
        <f>((F23/100)*$D$7)*20%</f>
        <v>-7.1712229144272333E-2</v>
      </c>
    </row>
    <row r="24" spans="2:7">
      <c r="B24" s="84" t="s">
        <v>54</v>
      </c>
      <c r="C24" s="85">
        <f t="shared" si="0"/>
        <v>45869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45869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45869</v>
      </c>
      <c r="D26" s="88">
        <f>'Daily Dashboard'!$D$9</f>
        <v>45.225500000013085</v>
      </c>
      <c r="E26" s="88">
        <f>'Daily Dashboard'!$D$9</f>
        <v>45.225500000013085</v>
      </c>
      <c r="F26" s="88">
        <f>'Daily Dashboard'!$D$9</f>
        <v>45.225500000013085</v>
      </c>
    </row>
    <row r="27" spans="2:7">
      <c r="B27" s="84" t="s">
        <v>56</v>
      </c>
      <c r="C27" s="85">
        <f t="shared" si="0"/>
        <v>45869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45869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45869</v>
      </c>
      <c r="D29" s="84">
        <v>0</v>
      </c>
      <c r="E29" s="86">
        <f>-(F7+G30)+(SUM(G21:G23))</f>
        <v>0.67401587438415345</v>
      </c>
      <c r="F29" s="86">
        <f>E29</f>
        <v>0.67401587438415345</v>
      </c>
    </row>
    <row r="30" spans="2:7">
      <c r="B30" s="84" t="s">
        <v>59</v>
      </c>
      <c r="C30" s="85">
        <f t="shared" si="0"/>
        <v>45869</v>
      </c>
      <c r="D30" s="84">
        <f>'Daily Dashboard'!C18</f>
        <v>4.6269332580645148</v>
      </c>
      <c r="E30" s="89">
        <f>'Daily Dashboard'!D18</f>
        <v>5.1360000000000001</v>
      </c>
      <c r="F30" s="84">
        <f>E30-D30</f>
        <v>0.50906674193548529</v>
      </c>
      <c r="G30" s="83">
        <f>(F30/D30)*D7</f>
        <v>4.4782075679372131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45869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122</v>
      </c>
      <c r="C4" s="78">
        <f>_xlfn.XLOOKUP($C$1,'Modelling New'!$D:$D,'Modelling New'!S:S)</f>
        <v>777.46793699999989</v>
      </c>
      <c r="D4" s="79">
        <f>IFERROR(SUMIFS('Daily KPI'!$I:$I,'Daily KPI'!$B:$B,$A4,'Daily KPI'!$A:$A,"&lt;="&amp;$B$1),"")</f>
        <v>675.1189999999998</v>
      </c>
      <c r="E4" s="78">
        <f>_xlfn.XLOOKUP($C$1,'Modelling New'!$D:$D,'Modelling New'!V:V)</f>
        <v>6619.5431833120601</v>
      </c>
      <c r="F4" s="79">
        <f>SUMIFS('Daily KPI'!$AA:$AA,'Daily KPI'!$B:$B,'Annual KPI'!A4,'Daily KPI'!$A:$A,"&lt;="&amp;'Annual KPI'!$B$1)/1000</f>
        <v>5481.1321999999955</v>
      </c>
      <c r="G4" s="80">
        <f>IFERROR(E4/C4/'Modelling New'!$AQ$1,"")</f>
        <v>0.72647039443010752</v>
      </c>
      <c r="H4" s="81">
        <f>IFERROR(F4/D4/'Modelling New'!$AQ$1,"")</f>
        <v>0.69272735014780595</v>
      </c>
      <c r="I4" s="80">
        <f>IFERROR(E4/(B4*24*'Modelling New'!$AQ$1),"")</f>
        <v>0.1928987154539453</v>
      </c>
      <c r="J4" s="81">
        <f>IFERROR(F4/(B4*24*'Modelling New'!$AQ$1),"")</f>
        <v>0.15972452045916544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0.96073715805339077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0.98975473626808463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0.98036785478255517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777.46793699999989</v>
      </c>
      <c r="D13" s="79">
        <f>SUMIF('Daily KPI'!$D:$D,$A13,'Daily KPI'!I:I)</f>
        <v>132.78649999999999</v>
      </c>
      <c r="E13" s="78">
        <f>_xlfn.XLOOKUP($A13,'Modelling New'!$D:$D,'Modelling New'!V:V)</f>
        <v>6619.5431833120601</v>
      </c>
      <c r="F13" s="79">
        <f>SUMIF('Daily KPI'!$D:$D,$A13,'Daily KPI'!AA:AA)/1000</f>
        <v>1174.7493000000175</v>
      </c>
      <c r="G13" s="73">
        <f>IFERROR(E13/C13/'Modelling New'!$AQ$1,"")</f>
        <v>0.72647039443010752</v>
      </c>
      <c r="H13" s="74">
        <f>IFERROR(F13/D13/'Modelling New'!$AQ$1,"")</f>
        <v>0.75485521428205637</v>
      </c>
      <c r="I13" s="73">
        <f>IFERROR(E13/(B13*24*'Modelling New'!$AQ$1),"")</f>
        <v>0.75914978339939765</v>
      </c>
      <c r="J13" s="74">
        <f>IFERROR(F13/(B13*24*'Modelling New'!$AQ$1),"")</f>
        <v>0.13472390041836596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0.9887713297457682</v>
      </c>
      <c r="M13" s="73">
        <f>_xlfn.XLOOKUP($A13,'Modelling New'!$D:$D,'Modelling New'!AE:AE)</f>
        <v>0.995</v>
      </c>
      <c r="N13" s="74">
        <f>IFERROR(AVERAGEIF('Daily KPI'!$D:$D,$A13,'Daily KPI'!O:O),"")</f>
        <v>0.99971911625911303</v>
      </c>
      <c r="O13" s="73">
        <f>_xlfn.XLOOKUP($A13,'Modelling New'!$D:$D,'Modelling New'!AG:AG)</f>
        <v>0.995</v>
      </c>
      <c r="P13" s="74">
        <f>IFERROR(AVERAGEIF('Daily KPI'!$D:$D,$A13,'Daily KPI'!T:T),"")</f>
        <v>0.98679789004595175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777.46793699999989</v>
      </c>
      <c r="D14" s="79">
        <f>SUMIF('Daily KPI'!$D:$D,$A14,'Daily KPI'!I:I)</f>
        <v>0</v>
      </c>
      <c r="E14" s="78">
        <f>_xlfn.XLOOKUP($A14,'Modelling New'!$D:$D,'Modelling New'!V:V)</f>
        <v>6619.5431833120601</v>
      </c>
      <c r="F14" s="79">
        <f>SUMIF('Daily KPI'!$D:$D,$A14,'Daily KPI'!AA:AA)/1000</f>
        <v>0</v>
      </c>
      <c r="G14" s="73">
        <f>IFERROR(E14/C14/'Modelling New'!$AQ$1,"")</f>
        <v>0.72647039443010752</v>
      </c>
      <c r="H14" s="74" t="str">
        <f>IFERROR(F14/D14/'Modelling New'!$AQ$1,"")</f>
        <v/>
      </c>
      <c r="I14" s="73">
        <f>IFERROR(E14/(B14*24*'Modelling New'!$AQ$1),"")</f>
        <v>0.75914978339939765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777.46793699999989</v>
      </c>
      <c r="D15" s="79">
        <f>SUMIF('Daily KPI'!$D:$D,$A15,'Daily KPI'!I:I)</f>
        <v>0</v>
      </c>
      <c r="E15" s="78">
        <f>_xlfn.XLOOKUP($A15,'Modelling New'!$D:$D,'Modelling New'!V:V)</f>
        <v>6619.5431833120601</v>
      </c>
      <c r="F15" s="79">
        <f>SUMIF('Daily KPI'!$D:$D,$A15,'Daily KPI'!AA:AA)/1000</f>
        <v>0</v>
      </c>
      <c r="G15" s="73">
        <f>IFERROR(E15/C15/'Modelling New'!$AQ$1,"")</f>
        <v>0.72647039443010752</v>
      </c>
      <c r="H15" s="74" t="str">
        <f>IFERROR(F15/D15/'Modelling New'!$AQ$1,"")</f>
        <v/>
      </c>
      <c r="I15" s="73">
        <f>IFERROR(E15/(B15*24*'Modelling New'!$AQ$1),"")</f>
        <v>0.78445477617937764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777.46793699999989</v>
      </c>
      <c r="D16" s="79">
        <f>SUMIF('Daily KPI'!$D:$D,$A16,'Daily KPI'!I:I)</f>
        <v>0</v>
      </c>
      <c r="E16" s="78">
        <f>_xlfn.XLOOKUP($A16,'Modelling New'!$D:$D,'Modelling New'!V:V)</f>
        <v>6619.5431833120601</v>
      </c>
      <c r="F16" s="79">
        <f>SUMIF('Daily KPI'!$D:$D,$A16,'Daily KPI'!AA:AA)/1000</f>
        <v>0</v>
      </c>
      <c r="G16" s="73">
        <f>IFERROR(E16/C16/'Modelling New'!$AQ$1,"")</f>
        <v>0.72647039443010752</v>
      </c>
      <c r="H16" s="74" t="str">
        <f>IFERROR(F16/D16/'Modelling New'!$AQ$1,"")</f>
        <v/>
      </c>
      <c r="I16" s="73">
        <f>IFERROR(E16/(B16*24*'Modelling New'!$AQ$1),"")</f>
        <v>0.75914978339939765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777.46793699999989</v>
      </c>
      <c r="D17" s="79">
        <f>SUMIF('Daily KPI'!$D:$D,$A17,'Daily KPI'!I:I)</f>
        <v>0</v>
      </c>
      <c r="E17" s="78">
        <f>_xlfn.XLOOKUP($A17,'Modelling New'!$D:$D,'Modelling New'!V:V)</f>
        <v>6619.5431833120601</v>
      </c>
      <c r="F17" s="79">
        <f>SUMIF('Daily KPI'!$D:$D,$A17,'Daily KPI'!AA:AA)/1000</f>
        <v>0</v>
      </c>
      <c r="G17" s="73">
        <f>IFERROR(E17/C17/'Modelling New'!$AQ$1,"")</f>
        <v>0.72647039443010752</v>
      </c>
      <c r="H17" s="74" t="str">
        <f>IFERROR(F17/D17/'Modelling New'!$AQ$1,"")</f>
        <v/>
      </c>
      <c r="I17" s="73">
        <f>IFERROR(E17/(B17*24*'Modelling New'!$AQ$1),"")</f>
        <v>0.78445477617937764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777.46793699999989</v>
      </c>
      <c r="D18" s="79">
        <f>SUMIF('Daily KPI'!$D:$D,$A18,'Daily KPI'!I:I)</f>
        <v>0</v>
      </c>
      <c r="E18" s="78">
        <f>_xlfn.XLOOKUP($A18,'Modelling New'!$D:$D,'Modelling New'!V:V)</f>
        <v>6619.5431833120601</v>
      </c>
      <c r="F18" s="79">
        <f>SUMIF('Daily KPI'!$D:$D,$A18,'Daily KPI'!AA:AA)/1000</f>
        <v>0</v>
      </c>
      <c r="G18" s="73">
        <f>IFERROR(E18/C18/'Modelling New'!$AQ$1,"")</f>
        <v>0.72647039443010752</v>
      </c>
      <c r="H18" s="74" t="str">
        <f>IFERROR(F18/D18/'Modelling New'!$AQ$1,"")</f>
        <v/>
      </c>
      <c r="I18" s="73">
        <f>IFERROR(E18/(B18*24*'Modelling New'!$AQ$1),"")</f>
        <v>0.75914978339939765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777.46793699999989</v>
      </c>
      <c r="D19" s="79">
        <f>SUMIF('Daily KPI'!$D:$D,$A19,'Daily KPI'!I:I)</f>
        <v>0</v>
      </c>
      <c r="E19" s="78">
        <f>_xlfn.XLOOKUP($A19,'Modelling New'!$D:$D,'Modelling New'!V:V)</f>
        <v>6619.5431833120601</v>
      </c>
      <c r="F19" s="79">
        <f>SUMIF('Daily KPI'!$D:$D,$A19,'Daily KPI'!AA:AA)/1000</f>
        <v>0</v>
      </c>
      <c r="G19" s="73">
        <f>IFERROR(E19/C19/'Modelling New'!$AQ$1,"")</f>
        <v>0.72647039443010752</v>
      </c>
      <c r="H19" s="74" t="str">
        <f>IFERROR(F19/D19/'Modelling New'!$AQ$1,"")</f>
        <v/>
      </c>
      <c r="I19" s="73">
        <f>IFERROR(E19/(B19*24*'Modelling New'!$AQ$1),"")</f>
        <v>0.75914978339939765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777.46793699999989</v>
      </c>
      <c r="D20" s="79">
        <f>SUMIF('Daily KPI'!$D:$D,$A20,'Daily KPI'!I:I)</f>
        <v>0</v>
      </c>
      <c r="E20" s="78">
        <f>_xlfn.XLOOKUP($A20,'Modelling New'!$D:$D,'Modelling New'!V:V)</f>
        <v>6619.5431833120601</v>
      </c>
      <c r="F20" s="79">
        <f>SUMIF('Daily KPI'!$D:$D,$A20,'Daily KPI'!AA:AA)/1000</f>
        <v>0</v>
      </c>
      <c r="G20" s="73">
        <f>IFERROR(E20/C20/'Modelling New'!$AQ$1,"")</f>
        <v>0.72647039443010752</v>
      </c>
      <c r="H20" s="74" t="str">
        <f>IFERROR(F20/D20/'Modelling New'!$AQ$1,"")</f>
        <v/>
      </c>
      <c r="I20" s="73">
        <f>IFERROR(E20/(B20*24*'Modelling New'!$AQ$1),"")</f>
        <v>0.84048726019219033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777.46793699999989</v>
      </c>
      <c r="D21" s="79">
        <f>SUMIF('Daily KPI'!$D:$D,$A21,'Daily KPI'!I:I)</f>
        <v>0</v>
      </c>
      <c r="E21" s="78">
        <f>_xlfn.XLOOKUP($A21,'Modelling New'!$D:$D,'Modelling New'!V:V)</f>
        <v>6619.5431833120601</v>
      </c>
      <c r="F21" s="79">
        <f>SUMIF('Daily KPI'!$D:$D,$A21,'Daily KPI'!AA:AA)/1000</f>
        <v>0</v>
      </c>
      <c r="G21" s="73">
        <f>IFERROR(E21/C21/'Modelling New'!$AQ$1,"")</f>
        <v>0.72647039443010752</v>
      </c>
      <c r="H21" s="74" t="str">
        <f>IFERROR(F21/D21/'Modelling New'!$AQ$1,"")</f>
        <v/>
      </c>
      <c r="I21" s="73">
        <f>IFERROR(E21/(B21*24*'Modelling New'!$AQ$1),"")</f>
        <v>0.75914978339939765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45869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31</v>
      </c>
      <c r="C4" s="71">
        <f>_xlfn.XLOOKUP($A$4,'Modelling New'!$D:$D,'Modelling New'!R:R)</f>
        <v>143.43493099999995</v>
      </c>
      <c r="D4" s="72">
        <f>SUMIF('Daily KPI'!$D:$D,$A$4,'Daily KPI'!I:I)</f>
        <v>132.78649999999999</v>
      </c>
      <c r="E4" s="71">
        <f>_xlfn.XLOOKUP($A$4,'Modelling New'!$D:$D,'Modelling New'!U:U)</f>
        <v>1261.7822784269715</v>
      </c>
      <c r="F4" s="72">
        <f>SUMIF('Daily KPI'!$D:$D,$A$4,'Daily KPI'!$AA:$AA)/1000</f>
        <v>1174.7493000000175</v>
      </c>
      <c r="G4" s="73">
        <f>IFERROR(E4/C4/'Modelling New'!$AQ$1,"")</f>
        <v>0.75058845994317613</v>
      </c>
      <c r="H4" s="74">
        <f>IFERROR(F4/D4/'Modelling New'!$AQ$1,"")</f>
        <v>0.75485521428205637</v>
      </c>
      <c r="I4" s="73">
        <f>IFERROR(E4/(B4*24*'Modelling New'!$AQ$1),"")</f>
        <v>0.14470511285127108</v>
      </c>
      <c r="J4" s="74">
        <f>IFERROR(F4/(B4*24*'Modelling New'!$AQ$1),"")</f>
        <v>0.13472390041836596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0.9887713297457682</v>
      </c>
      <c r="M4" s="73">
        <f>_xlfn.XLOOKUP($A$4,'Modelling New'!$D:$D,'Modelling New'!AE:AE)</f>
        <v>0.995</v>
      </c>
      <c r="N4" s="74">
        <f>IFERROR(AVERAGEIF('Daily KPI'!$D:$D,$A$4,'Daily KPI'!O:O),"")</f>
        <v>0.99971911625911303</v>
      </c>
      <c r="O4" s="73">
        <f>_xlfn.XLOOKUP($A$4,'Modelling New'!$D:$D,'Modelling New'!AG:AG)</f>
        <v>0.995</v>
      </c>
      <c r="P4" s="74">
        <f>IFERROR(AVERAGEIF('Daily KPI'!$D:$D,$A$4,'Daily KPI'!T:T),"")</f>
        <v>0.98679789004595175</v>
      </c>
    </row>
    <row r="7" spans="1:16">
      <c r="A7" s="66" t="s">
        <v>80</v>
      </c>
      <c r="B7" s="67">
        <f>B8-6</f>
        <v>45863</v>
      </c>
      <c r="D7" s="75"/>
      <c r="F7" s="75"/>
    </row>
    <row r="8" spans="1:16">
      <c r="A8" s="66" t="s">
        <v>81</v>
      </c>
      <c r="B8" s="67">
        <f>$B$1</f>
        <v>45869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24.231999999999999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221.61840000001621</v>
      </c>
      <c r="G11" s="73">
        <f>IFERROR(E11/C11/'Modelling New'!$AQ$1,"")</f>
        <v>0.75058845994317613</v>
      </c>
      <c r="H11" s="74">
        <f>IFERROR(F11/D11/'Modelling New'!$AQ$1,"")</f>
        <v>0.78034911667312756</v>
      </c>
      <c r="I11" s="73">
        <f>IFERROR(E11/(B11*24*'Modelling New'!$AQ$1),"")</f>
        <v>0.14470511285127111</v>
      </c>
      <c r="J11" s="74">
        <f>IFERROR(F11/(B11*24*'Modelling New'!$AQ$1),"")</f>
        <v>0.11255607020966206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0.99011436324869162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0.99967495295725606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0.98598697058768192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3.8660000000000001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33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0.6669084113012419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6.6820000000000004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41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0.98664886515353811</v>
      </c>
      <c r="T115" s="159">
        <f>IFERROR(1-SUMIF(Tracker_BD!$H:$H,$A115,Tracker_BD!AI:AI)/$F115,"")</f>
        <v>0.98616929852830593</v>
      </c>
      <c r="U115" s="160">
        <f t="shared" si="5"/>
        <v>0.71753695170042575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>
        <f>IFERROR(_xlfn.XLOOKUP($A116,'Raw Data'!$G:$G,'Raw Data'!$AH:$AH),"")</f>
        <v>11.033333333333335</v>
      </c>
      <c r="G116" s="131">
        <f>IFERROR(_xlfn.XLOOKUP($A116,'Raw Data'!$G:$G,'Raw Data'!$S:$S)/1000,"")</f>
        <v>0</v>
      </c>
      <c r="H116" s="131"/>
      <c r="I116" s="131">
        <f>IFERROR(_xlfn.XLOOKUP($A116,'Raw Data'!$G:$G,'Raw Data'!$AF:$AF)/1000,"")</f>
        <v>5.5469999999999997</v>
      </c>
      <c r="J116" s="131"/>
      <c r="K116" s="131">
        <f>IFERROR(_xlfn.XLOOKUP($A116,'Raw Data'!$G:$G,'Raw Data'!W:W),"")</f>
        <v>23</v>
      </c>
      <c r="L116" s="131">
        <f>IFERROR(_xlfn.XLOOKUP($A116,'Raw Data'!$G:$G,'Raw Data'!X:X),"")</f>
        <v>39</v>
      </c>
      <c r="M116" s="131">
        <f>IFERROR(_xlfn.XLOOKUP($A116,'Raw Data'!$G:$G,'Raw Data'!Y:Y),"")</f>
        <v>2</v>
      </c>
      <c r="N116" s="131">
        <f>IFERROR(_xlfn.XLOOKUP($A116,'Raw Data'!$G:$G,'Raw Data'!Z:Z),"")</f>
        <v>5.8</v>
      </c>
      <c r="O116" s="158">
        <f>IFERROR(1-SUMIF('Plant BD'!$H:$H,$A116,'Plant BD'!AC:AC)/$F116,"")</f>
        <v>1</v>
      </c>
      <c r="P116" s="158"/>
      <c r="Q116" s="159"/>
      <c r="R116" s="158">
        <f>IFERROR(1-SUMIF('Grid BD'!$H:$H,$A116,'Grid BD'!AB:AB)/$F116,"")</f>
        <v>1</v>
      </c>
      <c r="T116" s="159">
        <f>IFERROR(1-SUMIF(Tracker_BD!$H:$H,$A116,Tracker_BD!AI:AI)/$F116,"")</f>
        <v>0.98424315032815923</v>
      </c>
      <c r="U116" s="160">
        <f t="shared" si="5"/>
        <v>0.7524545137394284</v>
      </c>
      <c r="V116" s="160"/>
      <c r="W116" s="161">
        <f t="shared" si="6"/>
        <v>0.17391104948802535</v>
      </c>
      <c r="X116" s="156">
        <f>IFERROR(_xlfn.XLOOKUP($A116,'Raw Data'!$G:$G,'Raw Data'!$AB:$AB),"")</f>
        <v>49163</v>
      </c>
      <c r="Y116" s="156">
        <f>IFERROR(_xlfn.XLOOKUP($A116,'Raw Data'!$G:$G,'Raw Data'!AC:AC),"")</f>
        <v>49084.999999991851</v>
      </c>
      <c r="Z116" s="156">
        <f>IFERROR(_xlfn.XLOOKUP($A116,'Raw Data'!$G:$G,'Raw Data'!AD:AD),"")</f>
        <v>167.30000000006839</v>
      </c>
      <c r="AA116" s="156">
        <f>IFERROR(_xlfn.XLOOKUP($A116,'Raw Data'!$G:$G,'Raw Data'!AE:AE),"")</f>
        <v>48917.699999991783</v>
      </c>
      <c r="AB116" s="156">
        <f>IFERROR(_xlfn.XLOOKUP($A116,'Raw Data'!$G:$G,'Raw Data'!$H:$H),"")</f>
        <v>11.72</v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>
        <f>IFERROR(_xlfn.XLOOKUP($A117,'Raw Data'!$G:$G,'Raw Data'!$AH:$AH),"")</f>
        <v>12.666666666666668</v>
      </c>
      <c r="G117" s="131">
        <f>IFERROR(_xlfn.XLOOKUP($A117,'Raw Data'!$G:$G,'Raw Data'!$S:$S)/1000,"")</f>
        <v>0</v>
      </c>
      <c r="H117" s="131"/>
      <c r="I117" s="131">
        <f>IFERROR(_xlfn.XLOOKUP($A117,'Raw Data'!$G:$G,'Raw Data'!$AF:$AF)/1000,"")</f>
        <v>4.5339999999999998</v>
      </c>
      <c r="J117" s="131"/>
      <c r="K117" s="131">
        <f>IFERROR(_xlfn.XLOOKUP($A117,'Raw Data'!$G:$G,'Raw Data'!W:W),"")</f>
        <v>23</v>
      </c>
      <c r="L117" s="131">
        <f>IFERROR(_xlfn.XLOOKUP($A117,'Raw Data'!$G:$G,'Raw Data'!X:X),"")</f>
        <v>34</v>
      </c>
      <c r="M117" s="131">
        <f>IFERROR(_xlfn.XLOOKUP($A117,'Raw Data'!$G:$G,'Raw Data'!Y:Y),"")</f>
        <v>2.8</v>
      </c>
      <c r="N117" s="131">
        <f>IFERROR(_xlfn.XLOOKUP($A117,'Raw Data'!$G:$G,'Raw Data'!Z:Z),"")</f>
        <v>7</v>
      </c>
      <c r="O117" s="158">
        <f>IFERROR(1-SUMIF('Plant BD'!$H:$H,$A117,'Plant BD'!AC:AC)/$F117,"")</f>
        <v>0.9949851984302267</v>
      </c>
      <c r="P117" s="158"/>
      <c r="Q117" s="159"/>
      <c r="R117" s="158">
        <f>IFERROR(1-SUMIF('Grid BD'!$H:$H,$A117,'Grid BD'!AB:AB)/$F117,"")</f>
        <v>1</v>
      </c>
      <c r="T117" s="159">
        <f>IFERROR(1-SUMIF(Tracker_BD!$H:$H,$A117,Tracker_BD!AI:AI)/$F117,"")</f>
        <v>0.98629385964912286</v>
      </c>
      <c r="U117" s="160">
        <f t="shared" si="5"/>
        <v>0.74021123675333156</v>
      </c>
      <c r="V117" s="160"/>
      <c r="W117" s="161">
        <f t="shared" si="6"/>
        <v>0.13983823947665019</v>
      </c>
      <c r="X117" s="156">
        <f>IFERROR(_xlfn.XLOOKUP($A117,'Raw Data'!$G:$G,'Raw Data'!$AB:$AB),"")</f>
        <v>39592</v>
      </c>
      <c r="Y117" s="156">
        <f>IFERROR(_xlfn.XLOOKUP($A117,'Raw Data'!$G:$G,'Raw Data'!AC:AC),"")</f>
        <v>39507.79999999213</v>
      </c>
      <c r="Z117" s="156">
        <f>IFERROR(_xlfn.XLOOKUP($A117,'Raw Data'!$G:$G,'Raw Data'!AD:AD),"")</f>
        <v>174.09999999995307</v>
      </c>
      <c r="AA117" s="156">
        <f>IFERROR(_xlfn.XLOOKUP($A117,'Raw Data'!$G:$G,'Raw Data'!AE:AE),"")</f>
        <v>39333.699999992175</v>
      </c>
      <c r="AB117" s="156">
        <f>IFERROR(_xlfn.XLOOKUP($A117,'Raw Data'!$G:$G,'Raw Data'!$H:$H),"")</f>
        <v>11.72</v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>
        <f>IFERROR(_xlfn.XLOOKUP($A118,'Raw Data'!$G:$G,'Raw Data'!$AH:$AH),"")</f>
        <v>12.050000000000002</v>
      </c>
      <c r="G118" s="131">
        <f>IFERROR(_xlfn.XLOOKUP($A118,'Raw Data'!$G:$G,'Raw Data'!$S:$S)/1000,"")</f>
        <v>0</v>
      </c>
      <c r="H118" s="131"/>
      <c r="I118" s="131">
        <f>IFERROR(_xlfn.XLOOKUP($A118,'Raw Data'!$G:$G,'Raw Data'!$AF:$AF)/1000,"")</f>
        <v>2.0779999999999998</v>
      </c>
      <c r="J118" s="131"/>
      <c r="K118" s="131">
        <f>IFERROR(_xlfn.XLOOKUP($A118,'Raw Data'!$G:$G,'Raw Data'!W:W),"")</f>
        <v>23</v>
      </c>
      <c r="L118" s="131">
        <f>IFERROR(_xlfn.XLOOKUP($A118,'Raw Data'!$G:$G,'Raw Data'!X:X),"")</f>
        <v>28</v>
      </c>
      <c r="M118" s="131">
        <f>IFERROR(_xlfn.XLOOKUP($A118,'Raw Data'!$G:$G,'Raw Data'!Y:Y),"")</f>
        <v>3</v>
      </c>
      <c r="N118" s="131">
        <f>IFERROR(_xlfn.XLOOKUP($A118,'Raw Data'!$G:$G,'Raw Data'!Z:Z),"")</f>
        <v>5</v>
      </c>
      <c r="O118" s="158">
        <f>IFERROR(1-SUMIF('Plant BD'!$H:$H,$A118,'Plant BD'!AC:AC)/$F118,"")</f>
        <v>1</v>
      </c>
      <c r="P118" s="158"/>
      <c r="Q118" s="159"/>
      <c r="R118" s="158">
        <f>IFERROR(1-SUMIF('Grid BD'!$H:$H,$A118,'Grid BD'!AB:AB)/$F118,"")</f>
        <v>1</v>
      </c>
      <c r="T118" s="159">
        <f>IFERROR(1-SUMIF(Tracker_BD!$H:$H,$A118,Tracker_BD!AI:AI)/$F118,"")</f>
        <v>0.98600976137104335</v>
      </c>
      <c r="U118" s="160">
        <f t="shared" si="5"/>
        <v>0.86320776409474487</v>
      </c>
      <c r="V118" s="160"/>
      <c r="W118" s="161">
        <f t="shared" si="6"/>
        <v>7.4739405574536649E-2</v>
      </c>
      <c r="X118" s="156">
        <f>IFERROR(_xlfn.XLOOKUP($A118,'Raw Data'!$G:$G,'Raw Data'!$AB:$AB),"")</f>
        <v>21268</v>
      </c>
      <c r="Y118" s="156">
        <f>IFERROR(_xlfn.XLOOKUP($A118,'Raw Data'!$G:$G,'Raw Data'!AC:AC),"")</f>
        <v>21201.100000005681</v>
      </c>
      <c r="Z118" s="156">
        <f>IFERROR(_xlfn.XLOOKUP($A118,'Raw Data'!$G:$G,'Raw Data'!AD:AD),"")</f>
        <v>178.40000000001055</v>
      </c>
      <c r="AA118" s="156">
        <f>IFERROR(_xlfn.XLOOKUP($A118,'Raw Data'!$G:$G,'Raw Data'!AE:AE),"")</f>
        <v>21022.700000005672</v>
      </c>
      <c r="AB118" s="156">
        <f>IFERROR(_xlfn.XLOOKUP($A118,'Raw Data'!$G:$G,'Raw Data'!$H:$H),"")</f>
        <v>11.72</v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>
        <f>IFERROR(_xlfn.XLOOKUP($A119,'Raw Data'!$G:$G,'Raw Data'!$AH:$AH),"")</f>
        <v>12.183333333333335</v>
      </c>
      <c r="G119" s="131">
        <f>IFERROR(_xlfn.XLOOKUP($A119,'Raw Data'!$G:$G,'Raw Data'!$S:$S)/1000,"")</f>
        <v>0</v>
      </c>
      <c r="H119" s="131"/>
      <c r="I119" s="131">
        <f>IFERROR(_xlfn.XLOOKUP($A119,'Raw Data'!$G:$G,'Raw Data'!$AF:$AF)/1000,"")</f>
        <v>1.7170000000000001</v>
      </c>
      <c r="J119" s="131"/>
      <c r="K119" s="131">
        <f>IFERROR(_xlfn.XLOOKUP($A119,'Raw Data'!$G:$G,'Raw Data'!W:W),"")</f>
        <v>23</v>
      </c>
      <c r="L119" s="131">
        <f>IFERROR(_xlfn.XLOOKUP($A119,'Raw Data'!$G:$G,'Raw Data'!X:X),"")</f>
        <v>25</v>
      </c>
      <c r="M119" s="131">
        <f>IFERROR(_xlfn.XLOOKUP($A119,'Raw Data'!$G:$G,'Raw Data'!Y:Y),"")</f>
        <v>2</v>
      </c>
      <c r="N119" s="131">
        <f>IFERROR(_xlfn.XLOOKUP($A119,'Raw Data'!$G:$G,'Raw Data'!Z:Z),"")</f>
        <v>6</v>
      </c>
      <c r="O119" s="158">
        <f>IFERROR(1-SUMIF('Plant BD'!$H:$H,$A119,'Plant BD'!AC:AC)/$F119,"")</f>
        <v>1</v>
      </c>
      <c r="P119" s="158"/>
      <c r="Q119" s="159"/>
      <c r="R119" s="158">
        <f>IFERROR(1-SUMIF('Grid BD'!$H:$H,$A119,'Grid BD'!AB:AB)/$F119,"")</f>
        <v>1</v>
      </c>
      <c r="T119" s="159">
        <f>IFERROR(1-SUMIF(Tracker_BD!$H:$H,$A119,Tracker_BD!AI:AI)/$F119,"")</f>
        <v>0.98592700913565101</v>
      </c>
      <c r="U119" s="160">
        <f t="shared" si="5"/>
        <v>0.87954524221718466</v>
      </c>
      <c r="V119" s="160"/>
      <c r="W119" s="161">
        <f t="shared" si="6"/>
        <v>6.2924132536954405E-2</v>
      </c>
      <c r="X119" s="156">
        <f>IFERROR(_xlfn.XLOOKUP($A119,'Raw Data'!$G:$G,'Raw Data'!$AB:$AB),"")</f>
        <v>17977</v>
      </c>
      <c r="Y119" s="156">
        <f>IFERROR(_xlfn.XLOOKUP($A119,'Raw Data'!$G:$G,'Raw Data'!AC:AC),"")</f>
        <v>17880.399999994552</v>
      </c>
      <c r="Z119" s="156">
        <f>IFERROR(_xlfn.XLOOKUP($A119,'Raw Data'!$G:$G,'Raw Data'!AD:AD),"")</f>
        <v>181.10000000001492</v>
      </c>
      <c r="AA119" s="156">
        <f>IFERROR(_xlfn.XLOOKUP($A119,'Raw Data'!$G:$G,'Raw Data'!AE:AE),"")</f>
        <v>17699.299999994539</v>
      </c>
      <c r="AB119" s="156">
        <f>IFERROR(_xlfn.XLOOKUP($A119,'Raw Data'!$G:$G,'Raw Data'!$H:$H),"")</f>
        <v>11.72</v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>
        <f>IFERROR(_xlfn.XLOOKUP($A120,'Raw Data'!$G:$G,'Raw Data'!$AH:$AH),"")</f>
        <v>12.183333333333335</v>
      </c>
      <c r="G120" s="131">
        <f>IFERROR(_xlfn.XLOOKUP($A120,'Raw Data'!$G:$G,'Raw Data'!$S:$S)/1000,"")</f>
        <v>0</v>
      </c>
      <c r="H120" s="131"/>
      <c r="I120" s="131">
        <f>IFERROR(_xlfn.XLOOKUP($A120,'Raw Data'!$G:$G,'Raw Data'!$AF:$AF)/1000,"")</f>
        <v>1.77</v>
      </c>
      <c r="J120" s="131"/>
      <c r="K120" s="131">
        <f>IFERROR(_xlfn.XLOOKUP($A120,'Raw Data'!$G:$G,'Raw Data'!W:W),"")</f>
        <v>23</v>
      </c>
      <c r="L120" s="131">
        <f>IFERROR(_xlfn.XLOOKUP($A120,'Raw Data'!$G:$G,'Raw Data'!X:X),"")</f>
        <v>25</v>
      </c>
      <c r="M120" s="131">
        <f>IFERROR(_xlfn.XLOOKUP($A120,'Raw Data'!$G:$G,'Raw Data'!Y:Y),"")</f>
        <v>3</v>
      </c>
      <c r="N120" s="131">
        <f>IFERROR(_xlfn.XLOOKUP($A120,'Raw Data'!$G:$G,'Raw Data'!Z:Z),"")</f>
        <v>6</v>
      </c>
      <c r="O120" s="158">
        <f>IFERROR(1-SUMIF('Plant BD'!$H:$H,$A120,'Plant BD'!AC:AC)/$F120,"")</f>
        <v>1</v>
      </c>
      <c r="P120" s="158"/>
      <c r="Q120" s="159"/>
      <c r="R120" s="158">
        <f>IFERROR(1-SUMIF('Grid BD'!$H:$H,$A120,'Grid BD'!AB:AB)/$F120,"")</f>
        <v>1</v>
      </c>
      <c r="T120" s="159">
        <f>IFERROR(1-SUMIF(Tracker_BD!$H:$H,$A120,Tracker_BD!AI:AI)/$F120,"")</f>
        <v>0.98592700913565101</v>
      </c>
      <c r="U120" s="160">
        <f t="shared" si="5"/>
        <v>0.87430342646744297</v>
      </c>
      <c r="V120" s="160"/>
      <c r="W120" s="161">
        <f t="shared" si="6"/>
        <v>6.4479877701973914E-2</v>
      </c>
      <c r="X120" s="156">
        <f>IFERROR(_xlfn.XLOOKUP($A120,'Raw Data'!$G:$G,'Raw Data'!$AB:$AB),"")</f>
        <v>18388</v>
      </c>
      <c r="Y120" s="156">
        <f>IFERROR(_xlfn.XLOOKUP($A120,'Raw Data'!$G:$G,'Raw Data'!AC:AC),"")</f>
        <v>18315.800000011222</v>
      </c>
      <c r="Z120" s="156">
        <f>IFERROR(_xlfn.XLOOKUP($A120,'Raw Data'!$G:$G,'Raw Data'!AD:AD),"")</f>
        <v>178.89999999999873</v>
      </c>
      <c r="AA120" s="156">
        <f>IFERROR(_xlfn.XLOOKUP($A120,'Raw Data'!$G:$G,'Raw Data'!AE:AE),"")</f>
        <v>18136.900000011225</v>
      </c>
      <c r="AB120" s="156">
        <f>IFERROR(_xlfn.XLOOKUP($A120,'Raw Data'!$G:$G,'Raw Data'!$H:$H),"")</f>
        <v>11.72</v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>
        <f>IFERROR(_xlfn.XLOOKUP($A121,'Raw Data'!$G:$G,'Raw Data'!$AH:$AH),"")</f>
        <v>11.983333333333334</v>
      </c>
      <c r="G121" s="131">
        <f>IFERROR(_xlfn.XLOOKUP($A121,'Raw Data'!$G:$G,'Raw Data'!$S:$S)/1000,"")</f>
        <v>0</v>
      </c>
      <c r="H121" s="131"/>
      <c r="I121" s="131">
        <f>IFERROR(_xlfn.XLOOKUP($A121,'Raw Data'!$G:$G,'Raw Data'!$AF:$AF)/1000,"")</f>
        <v>1.127</v>
      </c>
      <c r="J121" s="131"/>
      <c r="K121" s="131">
        <f>IFERROR(_xlfn.XLOOKUP($A121,'Raw Data'!$G:$G,'Raw Data'!W:W),"")</f>
        <v>23</v>
      </c>
      <c r="L121" s="131">
        <f>IFERROR(_xlfn.XLOOKUP($A121,'Raw Data'!$G:$G,'Raw Data'!X:X),"")</f>
        <v>24</v>
      </c>
      <c r="M121" s="131">
        <f>IFERROR(_xlfn.XLOOKUP($A121,'Raw Data'!$G:$G,'Raw Data'!Y:Y),"")</f>
        <v>3</v>
      </c>
      <c r="N121" s="131">
        <f>IFERROR(_xlfn.XLOOKUP($A121,'Raw Data'!$G:$G,'Raw Data'!Z:Z),"")</f>
        <v>6</v>
      </c>
      <c r="O121" s="158">
        <f>IFERROR(1-SUMIF('Plant BD'!$H:$H,$A121,'Plant BD'!AC:AC)/$F121,"")</f>
        <v>1</v>
      </c>
      <c r="P121" s="158"/>
      <c r="Q121" s="159"/>
      <c r="R121" s="158">
        <f>IFERROR(1-SUMIF('Grid BD'!$H:$H,$A121,'Grid BD'!AB:AB)/$F121,"")</f>
        <v>1</v>
      </c>
      <c r="T121" s="159">
        <f>IFERROR(1-SUMIF(Tracker_BD!$H:$H,$A121,Tracker_BD!AI:AI)/$F121,"")</f>
        <v>0.98601186194107393</v>
      </c>
      <c r="U121" s="160">
        <f t="shared" si="5"/>
        <v>0.87835505177045792</v>
      </c>
      <c r="V121" s="160"/>
      <c r="W121" s="161">
        <f t="shared" si="6"/>
        <v>4.1246089306054404E-2</v>
      </c>
      <c r="X121" s="156">
        <f>IFERROR(_xlfn.XLOOKUP($A121,'Raw Data'!$G:$G,'Raw Data'!$AB:$AB),"")</f>
        <v>11958</v>
      </c>
      <c r="Y121" s="156">
        <f>IFERROR(_xlfn.XLOOKUP($A121,'Raw Data'!$G:$G,'Raw Data'!AC:AC),"")</f>
        <v>11786.300000007031</v>
      </c>
      <c r="Z121" s="156">
        <f>IFERROR(_xlfn.XLOOKUP($A121,'Raw Data'!$G:$G,'Raw Data'!AD:AD),"")</f>
        <v>184.60000000004584</v>
      </c>
      <c r="AA121" s="156">
        <f>IFERROR(_xlfn.XLOOKUP($A121,'Raw Data'!$G:$G,'Raw Data'!AE:AE),"")</f>
        <v>11601.700000006986</v>
      </c>
      <c r="AB121" s="156">
        <f>IFERROR(_xlfn.XLOOKUP($A121,'Raw Data'!$G:$G,'Raw Data'!$H:$H),"")</f>
        <v>11.72</v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>
        <f>IFERROR(_xlfn.XLOOKUP($A122,'Raw Data'!$G:$G,'Raw Data'!$AH:$AH),"")</f>
        <v>12.599999999999998</v>
      </c>
      <c r="G122" s="131">
        <f>IFERROR(_xlfn.XLOOKUP($A122,'Raw Data'!$G:$G,'Raw Data'!$S:$S)/1000,"")</f>
        <v>0</v>
      </c>
      <c r="H122" s="131"/>
      <c r="I122" s="131">
        <f>IFERROR(_xlfn.XLOOKUP($A122,'Raw Data'!$G:$G,'Raw Data'!$AF:$AF)/1000,"")</f>
        <v>4.38</v>
      </c>
      <c r="J122" s="131"/>
      <c r="K122" s="131">
        <f>IFERROR(_xlfn.XLOOKUP($A122,'Raw Data'!$G:$G,'Raw Data'!W:W),"")</f>
        <v>23</v>
      </c>
      <c r="L122" s="131">
        <f>IFERROR(_xlfn.XLOOKUP($A122,'Raw Data'!$G:$G,'Raw Data'!X:X),"")</f>
        <v>33</v>
      </c>
      <c r="M122" s="131">
        <f>IFERROR(_xlfn.XLOOKUP($A122,'Raw Data'!$G:$G,'Raw Data'!Y:Y),"")</f>
        <v>3</v>
      </c>
      <c r="N122" s="131">
        <f>IFERROR(_xlfn.XLOOKUP($A122,'Raw Data'!$G:$G,'Raw Data'!Z:Z),"")</f>
        <v>9</v>
      </c>
      <c r="O122" s="158">
        <f>IFERROR(1-SUMIF('Plant BD'!$H:$H,$A122,'Plant BD'!AC:AC)/$F122,"")</f>
        <v>1</v>
      </c>
      <c r="P122" s="158"/>
      <c r="Q122" s="159"/>
      <c r="R122" s="158">
        <f>IFERROR(1-SUMIF('Grid BD'!$H:$H,$A122,'Grid BD'!AB:AB)/$F122,"")</f>
        <v>1</v>
      </c>
      <c r="T122" s="159">
        <f>IFERROR(1-SUMIF(Tracker_BD!$H:$H,$A122,Tracker_BD!AI:AI)/$F122,"")</f>
        <v>0.98627835553122911</v>
      </c>
      <c r="U122" s="160">
        <f t="shared" si="5"/>
        <v>0.77099404678422356</v>
      </c>
      <c r="V122" s="160"/>
      <c r="W122" s="161">
        <f t="shared" si="6"/>
        <v>0.14070641353812074</v>
      </c>
      <c r="X122" s="156">
        <f>IFERROR(_xlfn.XLOOKUP($A122,'Raw Data'!$G:$G,'Raw Data'!$AB:$AB),"")</f>
        <v>39786</v>
      </c>
      <c r="Y122" s="156">
        <f>IFERROR(_xlfn.XLOOKUP($A122,'Raw Data'!$G:$G,'Raw Data'!AC:AC),"")</f>
        <v>39771.500000002561</v>
      </c>
      <c r="Z122" s="156">
        <f>IFERROR(_xlfn.XLOOKUP($A122,'Raw Data'!$G:$G,'Raw Data'!AD:AD),"")</f>
        <v>193.5999999999467</v>
      </c>
      <c r="AA122" s="156">
        <f>IFERROR(_xlfn.XLOOKUP($A122,'Raw Data'!$G:$G,'Raw Data'!AE:AE),"")</f>
        <v>39577.900000002614</v>
      </c>
      <c r="AB122" s="156">
        <f>IFERROR(_xlfn.XLOOKUP($A122,'Raw Data'!$G:$G,'Raw Data'!$H:$H),"")</f>
        <v>11.72</v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>
        <f>IFERROR(_xlfn.XLOOKUP($A123,'Raw Data'!$G:$G,'Raw Data'!$AH:$AH),"")</f>
        <v>12.316666666666668</v>
      </c>
      <c r="G123" s="131">
        <f>IFERROR(_xlfn.XLOOKUP($A123,'Raw Data'!$G:$G,'Raw Data'!$S:$S)/1000,"")</f>
        <v>0</v>
      </c>
      <c r="H123" s="131"/>
      <c r="I123" s="131">
        <f>IFERROR(_xlfn.XLOOKUP($A123,'Raw Data'!$G:$G,'Raw Data'!$AF:$AF)/1000,"")</f>
        <v>4.5529999999999999</v>
      </c>
      <c r="J123" s="131"/>
      <c r="K123" s="131">
        <f>IFERROR(_xlfn.XLOOKUP($A123,'Raw Data'!$G:$G,'Raw Data'!W:W),"")</f>
        <v>23</v>
      </c>
      <c r="L123" s="131">
        <f>IFERROR(_xlfn.XLOOKUP($A123,'Raw Data'!$G:$G,'Raw Data'!X:X),"")</f>
        <v>33</v>
      </c>
      <c r="M123" s="131">
        <f>IFERROR(_xlfn.XLOOKUP($A123,'Raw Data'!$G:$G,'Raw Data'!Y:Y),"")</f>
        <v>4</v>
      </c>
      <c r="N123" s="131">
        <f>IFERROR(_xlfn.XLOOKUP($A123,'Raw Data'!$G:$G,'Raw Data'!Z:Z),"")</f>
        <v>8</v>
      </c>
      <c r="O123" s="158">
        <f>IFERROR(1-SUMIF('Plant BD'!$H:$H,$A123,'Plant BD'!AC:AC)/$F123,"")</f>
        <v>1</v>
      </c>
      <c r="P123" s="158"/>
      <c r="Q123" s="159"/>
      <c r="R123" s="158">
        <f>IFERROR(1-SUMIF('Grid BD'!$H:$H,$A123,'Grid BD'!AB:AB)/$F123,"")</f>
        <v>1</v>
      </c>
      <c r="T123" s="159">
        <f>IFERROR(1-SUMIF(Tracker_BD!$H:$H,$A123,Tracker_BD!AI:AI)/$F123,"")</f>
        <v>0.98588493304092206</v>
      </c>
      <c r="U123" s="160">
        <f t="shared" si="5"/>
        <v>0.75184272605773439</v>
      </c>
      <c r="V123" s="160"/>
      <c r="W123" s="161">
        <f t="shared" si="6"/>
        <v>0.14263083048920266</v>
      </c>
      <c r="X123" s="156">
        <f>IFERROR(_xlfn.XLOOKUP($A123,'Raw Data'!$G:$G,'Raw Data'!$AB:$AB),"")</f>
        <v>40304</v>
      </c>
      <c r="Y123" s="156">
        <f>IFERROR(_xlfn.XLOOKUP($A123,'Raw Data'!$G:$G,'Raw Data'!AC:AC),"")</f>
        <v>40280.70000000298</v>
      </c>
      <c r="Z123" s="156">
        <f>IFERROR(_xlfn.XLOOKUP($A123,'Raw Data'!$G:$G,'Raw Data'!AD:AD),"")</f>
        <v>161.50000000004638</v>
      </c>
      <c r="AA123" s="156">
        <f>IFERROR(_xlfn.XLOOKUP($A123,'Raw Data'!$G:$G,'Raw Data'!AE:AE),"")</f>
        <v>40119.200000002937</v>
      </c>
      <c r="AB123" s="156">
        <f>IFERROR(_xlfn.XLOOKUP($A123,'Raw Data'!$G:$G,'Raw Data'!$H:$H),"")</f>
        <v>11.72</v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>
        <f>IFERROR(_xlfn.XLOOKUP($A124,'Raw Data'!$G:$G,'Raw Data'!$AH:$AH),"")</f>
        <v>12.216666666666665</v>
      </c>
      <c r="G124" s="131">
        <f>IFERROR(_xlfn.XLOOKUP($A124,'Raw Data'!$G:$G,'Raw Data'!$S:$S)/1000,"")</f>
        <v>0</v>
      </c>
      <c r="H124" s="131"/>
      <c r="I124" s="131">
        <f>IFERROR(_xlfn.XLOOKUP($A124,'Raw Data'!$G:$G,'Raw Data'!$AF:$AF)/1000,"")</f>
        <v>3.968</v>
      </c>
      <c r="J124" s="131"/>
      <c r="K124" s="131">
        <f>IFERROR(_xlfn.XLOOKUP($A124,'Raw Data'!$G:$G,'Raw Data'!W:W),"")</f>
        <v>23</v>
      </c>
      <c r="L124" s="131">
        <f>IFERROR(_xlfn.XLOOKUP($A124,'Raw Data'!$G:$G,'Raw Data'!X:X),"")</f>
        <v>32</v>
      </c>
      <c r="M124" s="131">
        <f>IFERROR(_xlfn.XLOOKUP($A124,'Raw Data'!$G:$G,'Raw Data'!Y:Y),"")</f>
        <v>4</v>
      </c>
      <c r="N124" s="131">
        <f>IFERROR(_xlfn.XLOOKUP($A124,'Raw Data'!$G:$G,'Raw Data'!Z:Z),"")</f>
        <v>8</v>
      </c>
      <c r="O124" s="158">
        <f>IFERROR(1-SUMIF('Plant BD'!$H:$H,$A124,'Plant BD'!AC:AC)/$F124,"")</f>
        <v>1</v>
      </c>
      <c r="P124" s="158"/>
      <c r="Q124" s="159"/>
      <c r="R124" s="158">
        <f>IFERROR(1-SUMIF('Grid BD'!$H:$H,$A124,'Grid BD'!AB:AB)/$F124,"")</f>
        <v>1</v>
      </c>
      <c r="T124" s="159">
        <f>IFERROR(1-SUMIF(Tracker_BD!$H:$H,$A124,Tracker_BD!AI:AI)/$F124,"")</f>
        <v>0.98574979222530612</v>
      </c>
      <c r="U124" s="160">
        <f t="shared" si="5"/>
        <v>0.79946741164768731</v>
      </c>
      <c r="V124" s="160"/>
      <c r="W124" s="161">
        <f t="shared" si="6"/>
        <v>0.13217861205908427</v>
      </c>
      <c r="X124" s="156">
        <f>IFERROR(_xlfn.XLOOKUP($A124,'Raw Data'!$G:$G,'Raw Data'!$AB:$AB),"")</f>
        <v>37389</v>
      </c>
      <c r="Y124" s="156">
        <f>IFERROR(_xlfn.XLOOKUP($A124,'Raw Data'!$G:$G,'Raw Data'!AC:AC),"")</f>
        <v>37347.599999979138</v>
      </c>
      <c r="Z124" s="156">
        <f>IFERROR(_xlfn.XLOOKUP($A124,'Raw Data'!$G:$G,'Raw Data'!AD:AD),"")</f>
        <v>168.39999999990596</v>
      </c>
      <c r="AA124" s="156">
        <f>IFERROR(_xlfn.XLOOKUP($A124,'Raw Data'!$G:$G,'Raw Data'!AE:AE),"")</f>
        <v>37179.199999979232</v>
      </c>
      <c r="AB124" s="156">
        <f>IFERROR(_xlfn.XLOOKUP($A124,'Raw Data'!$G:$G,'Raw Data'!$H:$H),"")</f>
        <v>11.72</v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>
        <f>IFERROR(_xlfn.XLOOKUP($A125,'Raw Data'!$G:$G,'Raw Data'!$AH:$AH),"")</f>
        <v>12.283333333333335</v>
      </c>
      <c r="G125" s="131">
        <f>IFERROR(_xlfn.XLOOKUP($A125,'Raw Data'!$G:$G,'Raw Data'!$S:$S)/1000,"")</f>
        <v>0</v>
      </c>
      <c r="H125" s="131"/>
      <c r="I125" s="131">
        <f>IFERROR(_xlfn.XLOOKUP($A125,'Raw Data'!$G:$G,'Raw Data'!$AF:$AF)/1000,"")</f>
        <v>3.298</v>
      </c>
      <c r="J125" s="131"/>
      <c r="K125" s="131">
        <f>IFERROR(_xlfn.XLOOKUP($A125,'Raw Data'!$G:$G,'Raw Data'!W:W),"")</f>
        <v>23</v>
      </c>
      <c r="L125" s="131">
        <f>IFERROR(_xlfn.XLOOKUP($A125,'Raw Data'!$G:$G,'Raw Data'!X:X),"")</f>
        <v>30</v>
      </c>
      <c r="M125" s="131">
        <f>IFERROR(_xlfn.XLOOKUP($A125,'Raw Data'!$G:$G,'Raw Data'!Y:Y),"")</f>
        <v>4</v>
      </c>
      <c r="N125" s="131">
        <f>IFERROR(_xlfn.XLOOKUP($A125,'Raw Data'!$G:$G,'Raw Data'!Z:Z),"")</f>
        <v>7</v>
      </c>
      <c r="O125" s="158">
        <f>IFERROR(1-SUMIF('Plant BD'!$H:$H,$A125,'Plant BD'!AC:AC)/$F125,"")</f>
        <v>1</v>
      </c>
      <c r="P125" s="158"/>
      <c r="Q125" s="159"/>
      <c r="R125" s="158">
        <f>IFERROR(1-SUMIF('Grid BD'!$H:$H,$A125,'Grid BD'!AB:AB)/$F125,"")</f>
        <v>0.93080054274084123</v>
      </c>
      <c r="T125" s="159">
        <f>IFERROR(1-SUMIF(Tracker_BD!$H:$H,$A125,Tracker_BD!AI:AI)/$F125,"")</f>
        <v>0.9858661239258254</v>
      </c>
      <c r="U125" s="160">
        <f t="shared" ref="U125:U188" si="9">IFERROR(AA125/I125/AB125/1000,"")</f>
        <v>0.77040175346730289</v>
      </c>
      <c r="V125" s="160"/>
      <c r="W125" s="161">
        <f t="shared" ref="W125:W188" si="10">IFERROR(AA125/(24*AR125*1000),"")</f>
        <v>0.10586604095563186</v>
      </c>
      <c r="X125" s="156">
        <f>IFERROR(_xlfn.XLOOKUP($A125,'Raw Data'!$G:$G,'Raw Data'!$AB:$AB),"")</f>
        <v>29980</v>
      </c>
      <c r="Y125" s="156">
        <f>IFERROR(_xlfn.XLOOKUP($A125,'Raw Data'!$G:$G,'Raw Data'!AC:AC),"")</f>
        <v>29961.40000000014</v>
      </c>
      <c r="Z125" s="156">
        <f>IFERROR(_xlfn.XLOOKUP($A125,'Raw Data'!$G:$G,'Raw Data'!AD:AD),"")</f>
        <v>183.400000000006</v>
      </c>
      <c r="AA125" s="156">
        <f>IFERROR(_xlfn.XLOOKUP($A125,'Raw Data'!$G:$G,'Raw Data'!AE:AE),"")</f>
        <v>29778.000000000135</v>
      </c>
      <c r="AB125" s="156">
        <f>IFERROR(_xlfn.XLOOKUP($A125,'Raw Data'!$G:$G,'Raw Data'!$H:$H),"")</f>
        <v>11.72</v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>
        <f>IFERROR(_xlfn.XLOOKUP($A126,'Raw Data'!$G:$G,'Raw Data'!$AH:$AH),"")</f>
        <v>12.433333333333332</v>
      </c>
      <c r="G126" s="131">
        <f>IFERROR(_xlfn.XLOOKUP($A126,'Raw Data'!$G:$G,'Raw Data'!$S:$S)/1000,"")</f>
        <v>0</v>
      </c>
      <c r="H126" s="131"/>
      <c r="I126" s="131">
        <f>IFERROR(_xlfn.XLOOKUP($A126,'Raw Data'!$G:$G,'Raw Data'!$AF:$AF)/1000,"")</f>
        <v>5.1360000000000001</v>
      </c>
      <c r="J126" s="131"/>
      <c r="K126" s="131">
        <f>IFERROR(_xlfn.XLOOKUP($A126,'Raw Data'!$G:$G,'Raw Data'!W:W),"")</f>
        <v>23</v>
      </c>
      <c r="L126" s="131">
        <f>IFERROR(_xlfn.XLOOKUP($A126,'Raw Data'!$G:$G,'Raw Data'!X:X),"")</f>
        <v>36</v>
      </c>
      <c r="M126" s="131">
        <f>IFERROR(_xlfn.XLOOKUP($A126,'Raw Data'!$G:$G,'Raw Data'!Y:Y),"")</f>
        <v>3</v>
      </c>
      <c r="N126" s="131">
        <f>IFERROR(_xlfn.XLOOKUP($A126,'Raw Data'!$G:$G,'Raw Data'!Z:Z),"")</f>
        <v>7</v>
      </c>
      <c r="O126" s="158">
        <f>IFERROR(1-SUMIF('Plant BD'!$H:$H,$A126,'Plant BD'!AC:AC)/$F126,"")</f>
        <v>0.99772467070079296</v>
      </c>
      <c r="P126" s="158"/>
      <c r="Q126" s="159"/>
      <c r="R126" s="158">
        <f>IFERROR(1-SUMIF('Grid BD'!$H:$H,$A126,'Grid BD'!AB:AB)/$F126,"")</f>
        <v>1</v>
      </c>
      <c r="T126" s="159">
        <f>IFERROR(1-SUMIF(Tracker_BD!$H:$H,$A126,Tracker_BD!AI:AI)/$F126,"")</f>
        <v>0.98619071831376537</v>
      </c>
      <c r="U126" s="160">
        <f t="shared" si="9"/>
        <v>0.75133003466152526</v>
      </c>
      <c r="V126" s="160"/>
      <c r="W126" s="161">
        <f t="shared" si="10"/>
        <v>0.16078462741756638</v>
      </c>
      <c r="X126" s="156">
        <f>IFERROR(_xlfn.XLOOKUP($A126,'Raw Data'!$G:$G,'Raw Data'!$AB:$AB),"")</f>
        <v>45479</v>
      </c>
      <c r="Y126" s="156">
        <f>IFERROR(_xlfn.XLOOKUP($A126,'Raw Data'!$G:$G,'Raw Data'!AC:AC),"")</f>
        <v>45405.300000013085</v>
      </c>
      <c r="Z126" s="156">
        <f>IFERROR(_xlfn.XLOOKUP($A126,'Raw Data'!$G:$G,'Raw Data'!AD:AD),"")</f>
        <v>179.80000000000018</v>
      </c>
      <c r="AA126" s="156">
        <f>IFERROR(_xlfn.XLOOKUP($A126,'Raw Data'!$G:$G,'Raw Data'!AE:AE),"")</f>
        <v>45225.500000013082</v>
      </c>
      <c r="AB126" s="156">
        <f>IFERROR(_xlfn.XLOOKUP($A126,'Raw Data'!$G:$G,'Raw Data'!$H:$H),"")</f>
        <v>11.72</v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28"/>
  <sheetViews>
    <sheetView zoomScale="98" zoomScaleNormal="98" workbookViewId="0">
      <pane xSplit="7" ySplit="3" topLeftCell="R123" activePane="bottomRight" state="frozen"/>
      <selection pane="topRight" activeCell="H1" sqref="H1"/>
      <selection pane="bottomLeft" activeCell="A4" sqref="A4"/>
      <selection pane="bottomRight" activeCell="AA128" sqref="AA128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28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f>IFERROR(Raw_Data[[#This Row],[Avg. POA without Exclusion (W/m2)2]]-Raw_Data[[#This Row],[Avg. POA Lost (W/m2)]],"")</f>
        <v>6557</v>
      </c>
      <c r="AH117" s="35">
        <f t="shared" ref="AH117" si="95">IFERROR((J117-I117)*24,"")</f>
        <v>12.483333333333334</v>
      </c>
      <c r="AI117" s="2"/>
    </row>
    <row r="118" spans="1:35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9">
        <v>45839</v>
      </c>
      <c r="F118" s="2">
        <f>DAY(EOMONTH(Raw_Data[[#This Row],[Month Year]],0))</f>
        <v>31</v>
      </c>
      <c r="G118" s="63">
        <f t="shared" si="4"/>
        <v>45859</v>
      </c>
      <c r="H118" s="2">
        <v>11.72</v>
      </c>
      <c r="I118" s="219">
        <v>0.25624999999999998</v>
      </c>
      <c r="J118" s="218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f>IFERROR(Raw_Data[[#This Row],[Avg. POA without Exclusion (W/m2)2]]-Raw_Data[[#This Row],[Avg. POA Lost (W/m2)]],"")</f>
        <v>5547</v>
      </c>
      <c r="AH118" s="35">
        <f t="shared" ref="AH118" si="96">IFERROR((J118-I118)*24,"")</f>
        <v>11.033333333333335</v>
      </c>
      <c r="AI118" s="2"/>
    </row>
    <row r="119" spans="1:35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9">
        <v>45839</v>
      </c>
      <c r="F119" s="2">
        <f>DAY(EOMONTH(Raw_Data[[#This Row],[Month Year]],0))</f>
        <v>31</v>
      </c>
      <c r="G119" s="63">
        <f t="shared" si="4"/>
        <v>45860</v>
      </c>
      <c r="H119" s="2">
        <v>11.72</v>
      </c>
      <c r="I119" s="219">
        <v>0.25694444444444442</v>
      </c>
      <c r="J119" s="218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f>IFERROR(Raw_Data[[#This Row],[Avg. POA without Exclusion (W/m2)2]]-Raw_Data[[#This Row],[Avg. POA Lost (W/m2)]],"")</f>
        <v>4534</v>
      </c>
      <c r="AH119" s="35">
        <f t="shared" ref="AH119" si="97">IFERROR((J119-I119)*24,"")</f>
        <v>12.666666666666668</v>
      </c>
      <c r="AI119" s="2"/>
    </row>
    <row r="120" spans="1:35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9">
        <v>45839</v>
      </c>
      <c r="F120" s="2">
        <f>DAY(EOMONTH(Raw_Data[[#This Row],[Month Year]],0))</f>
        <v>31</v>
      </c>
      <c r="G120" s="63">
        <f t="shared" si="4"/>
        <v>45861</v>
      </c>
      <c r="H120" s="2">
        <v>11.72</v>
      </c>
      <c r="I120" s="219">
        <v>0.27152777777777776</v>
      </c>
      <c r="J120" s="218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f>IFERROR(Raw_Data[[#This Row],[Avg. POA without Exclusion (W/m2)2]]-Raw_Data[[#This Row],[Avg. POA Lost (W/m2)]],"")</f>
        <v>2078</v>
      </c>
      <c r="AH120" s="35">
        <f t="shared" ref="AH120" si="98">IFERROR((J120-I120)*24,"")</f>
        <v>12.050000000000002</v>
      </c>
      <c r="AI120" s="2"/>
    </row>
    <row r="121" spans="1:35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9">
        <v>45839</v>
      </c>
      <c r="F121" s="2">
        <f>DAY(EOMONTH(Raw_Data[[#This Row],[Month Year]],0))</f>
        <v>31</v>
      </c>
      <c r="G121" s="63">
        <f t="shared" si="4"/>
        <v>45862</v>
      </c>
      <c r="H121" s="2">
        <v>11.72</v>
      </c>
      <c r="I121" s="219">
        <v>0.26319444444444445</v>
      </c>
      <c r="J121" s="218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f>IFERROR(Raw_Data[[#This Row],[Avg. POA without Exclusion (W/m2)2]]-Raw_Data[[#This Row],[Avg. POA Lost (W/m2)]],"")</f>
        <v>1717</v>
      </c>
      <c r="AH121" s="35">
        <f t="shared" ref="AH121" si="99">IFERROR((J121-I121)*24,"")</f>
        <v>12.183333333333335</v>
      </c>
      <c r="AI121" s="2"/>
    </row>
    <row r="122" spans="1:35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9">
        <v>45839</v>
      </c>
      <c r="F122" s="2">
        <f>DAY(EOMONTH(Raw_Data[[#This Row],[Month Year]],0))</f>
        <v>31</v>
      </c>
      <c r="G122" s="63">
        <f t="shared" si="4"/>
        <v>45863</v>
      </c>
      <c r="H122" s="2">
        <v>11.72</v>
      </c>
      <c r="I122" s="219">
        <v>0.26319444444444445</v>
      </c>
      <c r="J122" s="218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571.00450000000001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3</v>
      </c>
      <c r="Z122" s="2">
        <v>6</v>
      </c>
      <c r="AA122" s="2">
        <v>0</v>
      </c>
      <c r="AB122" s="2">
        <f>SUM(Raw_Data[[#This Row],[IC1_Inv1]:[IC2_Inv2]])</f>
        <v>18388</v>
      </c>
      <c r="AC122" s="2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178.89999999999873</v>
      </c>
      <c r="AE122" s="2">
        <f>Raw_Data[[#This Row],[Export  (kWh)]]-Raw_Data[[#This Row],[Import (kWh)]]</f>
        <v>18136.900000011225</v>
      </c>
      <c r="AF122" s="2">
        <f>IFERROR(AVERAGE(Raw_Data[[#This Row],[POA1(Wh/m2)]:[POA2(Wh/m2)]]),"")</f>
        <v>1770</v>
      </c>
      <c r="AG122" s="2">
        <f>IFERROR(Raw_Data[[#This Row],[Avg. POA without Exclusion (W/m2)2]]-Raw_Data[[#This Row],[Avg. POA Lost (W/m2)]],"")</f>
        <v>1770</v>
      </c>
      <c r="AH122" s="35">
        <f t="shared" ref="AH122" si="100">IFERROR((J122-I122)*24,"")</f>
        <v>12.183333333333335</v>
      </c>
      <c r="AI122" s="2"/>
    </row>
    <row r="123" spans="1:35">
      <c r="A123" s="2">
        <f>YEAR(Raw_Data[[#This Row],[Date]])+IF(MONTH(Raw_Data[[#This Row],[Date]])&gt;=4,1,0)</f>
        <v>2026</v>
      </c>
      <c r="B123" s="2">
        <f>YEAR(Raw_Data[[#This Row],[Date]])</f>
        <v>2025</v>
      </c>
      <c r="C123" s="2" t="s">
        <v>155</v>
      </c>
      <c r="D123" s="2" t="s">
        <v>155</v>
      </c>
      <c r="E123" s="39">
        <v>45839</v>
      </c>
      <c r="F123" s="2">
        <f>DAY(EOMONTH(Raw_Data[[#This Row],[Month Year]],0))</f>
        <v>31</v>
      </c>
      <c r="G123" s="63">
        <f t="shared" si="4"/>
        <v>45864</v>
      </c>
      <c r="H123" s="2">
        <v>11.72</v>
      </c>
      <c r="I123" s="219">
        <v>0.27430555555555558</v>
      </c>
      <c r="J123" s="218">
        <v>0.77361111111111114</v>
      </c>
      <c r="K123" s="2">
        <v>2052</v>
      </c>
      <c r="L123" s="2">
        <v>2090</v>
      </c>
      <c r="M123" s="2">
        <v>1857</v>
      </c>
      <c r="N123" s="2">
        <v>1897</v>
      </c>
      <c r="O123" s="2">
        <v>1976</v>
      </c>
      <c r="P123" s="2">
        <v>2086</v>
      </c>
      <c r="Q123" s="2">
        <v>132713.73360000001</v>
      </c>
      <c r="R123" s="2">
        <v>571.18910000000005</v>
      </c>
      <c r="S123" s="2">
        <v>0</v>
      </c>
      <c r="T123" s="2">
        <v>1127</v>
      </c>
      <c r="U123" s="2">
        <v>1127</v>
      </c>
      <c r="V123" s="2">
        <v>0</v>
      </c>
      <c r="W123" s="2">
        <v>23</v>
      </c>
      <c r="X123" s="2">
        <v>24</v>
      </c>
      <c r="Y123" s="2">
        <v>3</v>
      </c>
      <c r="Z123" s="2">
        <v>6</v>
      </c>
      <c r="AA123" s="2">
        <v>0</v>
      </c>
      <c r="AB123" s="2">
        <f>SUM(Raw_Data[[#This Row],[IC1_Inv1]:[IC2_Inv2]])</f>
        <v>11958</v>
      </c>
      <c r="AC123" s="2">
        <f>IF(Raw_Data[[#This Row],[33 kV Outgoinng Export Reading]]-Q122&gt;0,Raw_Data[[#This Row],[33 kV Outgoinng Export Reading]]-Q122,0)*1000</f>
        <v>11786.300000007031</v>
      </c>
      <c r="AD123" s="2">
        <f>IF(Raw_Data[[#This Row],[33 kV Outgoinng Import Reading]]-R122&gt;0,Raw_Data[[#This Row],[33 kV Outgoinng Import Reading]]-R122,0)*1000</f>
        <v>184.60000000004584</v>
      </c>
      <c r="AE123" s="2">
        <f>Raw_Data[[#This Row],[Export  (kWh)]]-Raw_Data[[#This Row],[Import (kWh)]]</f>
        <v>11601.700000006986</v>
      </c>
      <c r="AF123" s="2">
        <f>IFERROR(AVERAGE(Raw_Data[[#This Row],[POA1(Wh/m2)]:[POA2(Wh/m2)]]),"")</f>
        <v>1127</v>
      </c>
      <c r="AG123" s="2">
        <f>IFERROR(Raw_Data[[#This Row],[Avg. POA without Exclusion (W/m2)2]]-Raw_Data[[#This Row],[Avg. POA Lost (W/m2)]],"")</f>
        <v>1127</v>
      </c>
      <c r="AH123" s="35">
        <f t="shared" ref="AH123" si="101">IFERROR((J123-I123)*24,"")</f>
        <v>11.983333333333334</v>
      </c>
      <c r="AI123" s="2"/>
    </row>
    <row r="124" spans="1:35">
      <c r="A124" s="2">
        <f>YEAR(Raw_Data[[#This Row],[Date]])+IF(MONTH(Raw_Data[[#This Row],[Date]])&gt;=4,1,0)</f>
        <v>2026</v>
      </c>
      <c r="B124" s="2">
        <f>YEAR(Raw_Data[[#This Row],[Date]])</f>
        <v>2025</v>
      </c>
      <c r="C124" s="2" t="s">
        <v>155</v>
      </c>
      <c r="D124" s="2" t="s">
        <v>155</v>
      </c>
      <c r="E124" s="39">
        <v>45839</v>
      </c>
      <c r="F124" s="2">
        <f>DAY(EOMONTH(Raw_Data[[#This Row],[Month Year]],0))</f>
        <v>31</v>
      </c>
      <c r="G124" s="63">
        <f t="shared" si="4"/>
        <v>45865</v>
      </c>
      <c r="H124" s="2">
        <v>11.72</v>
      </c>
      <c r="I124" s="219">
        <v>0.2590277777777778</v>
      </c>
      <c r="J124" s="218">
        <v>0.78402777777777777</v>
      </c>
      <c r="K124" s="2">
        <v>6769</v>
      </c>
      <c r="L124" s="2">
        <v>6868</v>
      </c>
      <c r="M124" s="2">
        <v>6031</v>
      </c>
      <c r="N124" s="2">
        <v>6346</v>
      </c>
      <c r="O124" s="2">
        <v>6781</v>
      </c>
      <c r="P124" s="2">
        <v>6991</v>
      </c>
      <c r="Q124" s="2">
        <v>132753.50510000001</v>
      </c>
      <c r="R124" s="2">
        <v>571.3827</v>
      </c>
      <c r="S124" s="2">
        <v>0</v>
      </c>
      <c r="T124" s="2">
        <v>4380</v>
      </c>
      <c r="U124" s="2">
        <v>4380</v>
      </c>
      <c r="V124" s="2">
        <v>0</v>
      </c>
      <c r="W124" s="2">
        <v>23</v>
      </c>
      <c r="X124" s="2">
        <v>33</v>
      </c>
      <c r="Y124" s="2">
        <v>3</v>
      </c>
      <c r="Z124" s="2">
        <v>9</v>
      </c>
      <c r="AA124" s="2">
        <v>0</v>
      </c>
      <c r="AB124" s="2">
        <f>SUM(Raw_Data[[#This Row],[IC1_Inv1]:[IC2_Inv2]])</f>
        <v>39786</v>
      </c>
      <c r="AC124" s="2">
        <f>IF(Raw_Data[[#This Row],[33 kV Outgoinng Export Reading]]-Q123&gt;0,Raw_Data[[#This Row],[33 kV Outgoinng Export Reading]]-Q123,0)*1000</f>
        <v>39771.500000002561</v>
      </c>
      <c r="AD124" s="2">
        <f>IF(Raw_Data[[#This Row],[33 kV Outgoinng Import Reading]]-R123&gt;0,Raw_Data[[#This Row],[33 kV Outgoinng Import Reading]]-R123,0)*1000</f>
        <v>193.5999999999467</v>
      </c>
      <c r="AE124" s="2">
        <f>Raw_Data[[#This Row],[Export  (kWh)]]-Raw_Data[[#This Row],[Import (kWh)]]</f>
        <v>39577.900000002614</v>
      </c>
      <c r="AF124" s="2">
        <f>IFERROR(AVERAGE(Raw_Data[[#This Row],[POA1(Wh/m2)]:[POA2(Wh/m2)]]),"")</f>
        <v>4380</v>
      </c>
      <c r="AG124" s="2">
        <f>IFERROR(Raw_Data[[#This Row],[Avg. POA without Exclusion (W/m2)2]]-Raw_Data[[#This Row],[Avg. POA Lost (W/m2)]],"")</f>
        <v>4380</v>
      </c>
      <c r="AH124" s="35">
        <f t="shared" ref="AH124" si="102">IFERROR((J124-I124)*24,"")</f>
        <v>12.599999999999998</v>
      </c>
      <c r="AI124" s="2"/>
    </row>
    <row r="125" spans="1:35">
      <c r="A125" s="2">
        <f>YEAR(Raw_Data[[#This Row],[Date]])+IF(MONTH(Raw_Data[[#This Row],[Date]])&gt;=4,1,0)</f>
        <v>2026</v>
      </c>
      <c r="B125" s="2">
        <f>YEAR(Raw_Data[[#This Row],[Date]])</f>
        <v>2025</v>
      </c>
      <c r="C125" s="2" t="s">
        <v>155</v>
      </c>
      <c r="D125" s="2" t="s">
        <v>155</v>
      </c>
      <c r="E125" s="39">
        <v>45839</v>
      </c>
      <c r="F125" s="2">
        <f>DAY(EOMONTH(Raw_Data[[#This Row],[Month Year]],0))</f>
        <v>31</v>
      </c>
      <c r="G125" s="63">
        <f t="shared" si="4"/>
        <v>45866</v>
      </c>
      <c r="H125" s="2">
        <v>11.72</v>
      </c>
      <c r="I125" s="219">
        <v>0.25624999999999998</v>
      </c>
      <c r="J125" s="218">
        <v>0.76944444444444449</v>
      </c>
      <c r="K125" s="2">
        <v>6736</v>
      </c>
      <c r="L125" s="2">
        <v>6934</v>
      </c>
      <c r="M125" s="2">
        <v>6063</v>
      </c>
      <c r="N125" s="2">
        <v>6516</v>
      </c>
      <c r="O125" s="2">
        <v>6957</v>
      </c>
      <c r="P125" s="2">
        <v>7098</v>
      </c>
      <c r="Q125" s="2">
        <v>132793.78580000001</v>
      </c>
      <c r="R125" s="2">
        <v>571.54420000000005</v>
      </c>
      <c r="S125" s="2">
        <v>0</v>
      </c>
      <c r="T125" s="2">
        <v>4553</v>
      </c>
      <c r="U125" s="2">
        <v>4553</v>
      </c>
      <c r="V125" s="2">
        <v>0</v>
      </c>
      <c r="W125" s="2">
        <v>23</v>
      </c>
      <c r="X125" s="2">
        <v>33</v>
      </c>
      <c r="Y125" s="2">
        <v>4</v>
      </c>
      <c r="Z125" s="2">
        <v>8</v>
      </c>
      <c r="AA125" s="2">
        <v>0</v>
      </c>
      <c r="AB125" s="2">
        <f>SUM(Raw_Data[[#This Row],[IC1_Inv1]:[IC2_Inv2]])</f>
        <v>40304</v>
      </c>
      <c r="AC125" s="2">
        <f>IF(Raw_Data[[#This Row],[33 kV Outgoinng Export Reading]]-Q124&gt;0,Raw_Data[[#This Row],[33 kV Outgoinng Export Reading]]-Q124,0)*1000</f>
        <v>40280.70000000298</v>
      </c>
      <c r="AD125" s="2">
        <f>IF(Raw_Data[[#This Row],[33 kV Outgoinng Import Reading]]-R124&gt;0,Raw_Data[[#This Row],[33 kV Outgoinng Import Reading]]-R124,0)*1000</f>
        <v>161.50000000004638</v>
      </c>
      <c r="AE125" s="2">
        <f>Raw_Data[[#This Row],[Export  (kWh)]]-Raw_Data[[#This Row],[Import (kWh)]]</f>
        <v>40119.200000002937</v>
      </c>
      <c r="AF125" s="2">
        <f>IFERROR(AVERAGE(Raw_Data[[#This Row],[POA1(Wh/m2)]:[POA2(Wh/m2)]]),"")</f>
        <v>4553</v>
      </c>
      <c r="AG125" s="2">
        <f>IFERROR(Raw_Data[[#This Row],[Avg. POA without Exclusion (W/m2)2]]-Raw_Data[[#This Row],[Avg. POA Lost (W/m2)]],"")</f>
        <v>4553</v>
      </c>
      <c r="AH125" s="35">
        <f t="shared" ref="AH125" si="103">IFERROR((J125-I125)*24,"")</f>
        <v>12.316666666666668</v>
      </c>
      <c r="AI125" s="2"/>
    </row>
    <row r="126" spans="1:35">
      <c r="A126" s="2">
        <f>YEAR(Raw_Data[[#This Row],[Date]])+IF(MONTH(Raw_Data[[#This Row],[Date]])&gt;=4,1,0)</f>
        <v>2026</v>
      </c>
      <c r="B126" s="2">
        <f>YEAR(Raw_Data[[#This Row],[Date]])</f>
        <v>2025</v>
      </c>
      <c r="C126" s="2" t="s">
        <v>155</v>
      </c>
      <c r="D126" s="2" t="s">
        <v>155</v>
      </c>
      <c r="E126" s="39">
        <v>45839</v>
      </c>
      <c r="F126" s="2">
        <f>DAY(EOMONTH(Raw_Data[[#This Row],[Month Year]],0))</f>
        <v>31</v>
      </c>
      <c r="G126" s="63">
        <f t="shared" si="4"/>
        <v>45867</v>
      </c>
      <c r="H126" s="2">
        <v>11.72</v>
      </c>
      <c r="I126" s="219">
        <v>0.25555555555555554</v>
      </c>
      <c r="J126" s="218">
        <v>0.76458333333333328</v>
      </c>
      <c r="K126" s="2">
        <v>6355</v>
      </c>
      <c r="L126" s="2">
        <v>6508</v>
      </c>
      <c r="M126" s="2">
        <v>5704</v>
      </c>
      <c r="N126" s="2">
        <v>5979</v>
      </c>
      <c r="O126" s="2">
        <v>6296</v>
      </c>
      <c r="P126" s="2">
        <v>6547</v>
      </c>
      <c r="Q126" s="2">
        <v>132831.13339999999</v>
      </c>
      <c r="R126" s="2">
        <v>571.71259999999995</v>
      </c>
      <c r="S126" s="2">
        <v>0</v>
      </c>
      <c r="T126" s="2">
        <v>3968</v>
      </c>
      <c r="U126" s="2">
        <v>3968</v>
      </c>
      <c r="V126" s="2">
        <v>0</v>
      </c>
      <c r="W126" s="2">
        <v>23</v>
      </c>
      <c r="X126" s="2">
        <v>32</v>
      </c>
      <c r="Y126" s="2">
        <v>4</v>
      </c>
      <c r="Z126" s="2">
        <v>8</v>
      </c>
      <c r="AA126" s="2">
        <v>0</v>
      </c>
      <c r="AB126" s="2">
        <f>SUM(Raw_Data[[#This Row],[IC1_Inv1]:[IC2_Inv2]])</f>
        <v>37389</v>
      </c>
      <c r="AC126" s="2">
        <f>IF(Raw_Data[[#This Row],[33 kV Outgoinng Export Reading]]-Q125&gt;0,Raw_Data[[#This Row],[33 kV Outgoinng Export Reading]]-Q125,0)*1000</f>
        <v>37347.599999979138</v>
      </c>
      <c r="AD126" s="2">
        <f>IF(Raw_Data[[#This Row],[33 kV Outgoinng Import Reading]]-R125&gt;0,Raw_Data[[#This Row],[33 kV Outgoinng Import Reading]]-R125,0)*1000</f>
        <v>168.39999999990596</v>
      </c>
      <c r="AE126" s="2">
        <f>Raw_Data[[#This Row],[Export  (kWh)]]-Raw_Data[[#This Row],[Import (kWh)]]</f>
        <v>37179.199999979232</v>
      </c>
      <c r="AF126" s="2">
        <f>IFERROR(AVERAGE(Raw_Data[[#This Row],[POA1(Wh/m2)]:[POA2(Wh/m2)]]),"")</f>
        <v>3968</v>
      </c>
      <c r="AG126" s="2">
        <f>IFERROR(Raw_Data[[#This Row],[Avg. POA without Exclusion (W/m2)2]]-Raw_Data[[#This Row],[Avg. POA Lost (W/m2)]],"")</f>
        <v>3968</v>
      </c>
      <c r="AH126" s="35">
        <f t="shared" ref="AH126" si="104">IFERROR((J126-I126)*24,"")</f>
        <v>12.216666666666665</v>
      </c>
      <c r="AI126" s="2"/>
    </row>
    <row r="127" spans="1:35">
      <c r="A127" s="2">
        <f>YEAR(Raw_Data[[#This Row],[Date]])+IF(MONTH(Raw_Data[[#This Row],[Date]])&gt;=4,1,0)</f>
        <v>2026</v>
      </c>
      <c r="B127" s="2">
        <f>YEAR(Raw_Data[[#This Row],[Date]])</f>
        <v>2025</v>
      </c>
      <c r="C127" s="2" t="s">
        <v>155</v>
      </c>
      <c r="D127" s="2" t="s">
        <v>155</v>
      </c>
      <c r="E127" s="39">
        <v>45839</v>
      </c>
      <c r="F127" s="2">
        <f>DAY(EOMONTH(Raw_Data[[#This Row],[Month Year]],0))</f>
        <v>31</v>
      </c>
      <c r="G127" s="63">
        <f t="shared" si="4"/>
        <v>45868</v>
      </c>
      <c r="H127" s="2">
        <v>11.72</v>
      </c>
      <c r="I127" s="219">
        <v>0.25694444444444442</v>
      </c>
      <c r="J127" s="218">
        <v>0.76875000000000004</v>
      </c>
      <c r="K127" s="2">
        <v>5119</v>
      </c>
      <c r="L127" s="2">
        <v>5161</v>
      </c>
      <c r="M127" s="2">
        <v>4485</v>
      </c>
      <c r="N127" s="2">
        <v>4797</v>
      </c>
      <c r="O127" s="2">
        <v>5154</v>
      </c>
      <c r="P127" s="2">
        <v>5264</v>
      </c>
      <c r="Q127" s="2">
        <v>132861.09479999999</v>
      </c>
      <c r="R127" s="2">
        <v>571.89599999999996</v>
      </c>
      <c r="S127" s="2">
        <v>0</v>
      </c>
      <c r="T127" s="2">
        <v>3298</v>
      </c>
      <c r="U127" s="2">
        <v>3298</v>
      </c>
      <c r="V127" s="2">
        <v>0</v>
      </c>
      <c r="W127" s="2">
        <v>23</v>
      </c>
      <c r="X127" s="2">
        <v>30</v>
      </c>
      <c r="Y127" s="2">
        <v>4</v>
      </c>
      <c r="Z127" s="2">
        <v>7</v>
      </c>
      <c r="AA127" s="2">
        <v>0</v>
      </c>
      <c r="AB127" s="2">
        <f>SUM(Raw_Data[[#This Row],[IC1_Inv1]:[IC2_Inv2]])</f>
        <v>29980</v>
      </c>
      <c r="AC127" s="2">
        <f>IF(Raw_Data[[#This Row],[33 kV Outgoinng Export Reading]]-Q126&gt;0,Raw_Data[[#This Row],[33 kV Outgoinng Export Reading]]-Q126,0)*1000</f>
        <v>29961.40000000014</v>
      </c>
      <c r="AD127" s="2">
        <f>IF(Raw_Data[[#This Row],[33 kV Outgoinng Import Reading]]-R126&gt;0,Raw_Data[[#This Row],[33 kV Outgoinng Import Reading]]-R126,0)*1000</f>
        <v>183.400000000006</v>
      </c>
      <c r="AE127" s="2">
        <f>Raw_Data[[#This Row],[Export  (kWh)]]-Raw_Data[[#This Row],[Import (kWh)]]</f>
        <v>29778.000000000135</v>
      </c>
      <c r="AF127" s="2">
        <f>IFERROR(AVERAGE(Raw_Data[[#This Row],[POA1(Wh/m2)]:[POA2(Wh/m2)]]),"")</f>
        <v>3298</v>
      </c>
      <c r="AG127" s="2">
        <f>IFERROR(Raw_Data[[#This Row],[Avg. POA without Exclusion (W/m2)2]]-Raw_Data[[#This Row],[Avg. POA Lost (W/m2)]],"")</f>
        <v>3298</v>
      </c>
      <c r="AH127" s="35">
        <f t="shared" ref="AH127" si="105">IFERROR((J127-I127)*24,"")</f>
        <v>12.283333333333335</v>
      </c>
      <c r="AI127" s="2"/>
    </row>
    <row r="128" spans="1:35">
      <c r="A128" s="2">
        <f>YEAR(Raw_Data[[#This Row],[Date]])+IF(MONTH(Raw_Data[[#This Row],[Date]])&gt;=4,1,0)</f>
        <v>2026</v>
      </c>
      <c r="B128" s="2">
        <f>YEAR(Raw_Data[[#This Row],[Date]])</f>
        <v>2025</v>
      </c>
      <c r="C128" s="2" t="s">
        <v>155</v>
      </c>
      <c r="D128" s="2" t="s">
        <v>155</v>
      </c>
      <c r="E128" s="39">
        <v>45839</v>
      </c>
      <c r="F128" s="238">
        <f>DAY(EOMONTH(Raw_Data[[#This Row],[Month Year]],0))</f>
        <v>31</v>
      </c>
      <c r="G128" s="63">
        <f t="shared" si="4"/>
        <v>45869</v>
      </c>
      <c r="H128" s="238">
        <v>11.72</v>
      </c>
      <c r="I128" s="219">
        <v>0.26250000000000001</v>
      </c>
      <c r="J128" s="218">
        <v>0.78055555555555556</v>
      </c>
      <c r="K128" s="2">
        <v>7447</v>
      </c>
      <c r="L128" s="2">
        <v>7864</v>
      </c>
      <c r="M128" s="2">
        <v>6964</v>
      </c>
      <c r="N128" s="2">
        <v>7344</v>
      </c>
      <c r="O128" s="2">
        <v>7843</v>
      </c>
      <c r="P128" s="2">
        <v>8017</v>
      </c>
      <c r="Q128" s="2">
        <v>132906.5001</v>
      </c>
      <c r="R128" s="2">
        <v>572.07579999999996</v>
      </c>
      <c r="S128" s="2">
        <v>0</v>
      </c>
      <c r="T128" s="2">
        <v>5136</v>
      </c>
      <c r="U128" s="2">
        <v>5136</v>
      </c>
      <c r="V128" s="2">
        <v>0</v>
      </c>
      <c r="W128" s="2">
        <v>23</v>
      </c>
      <c r="X128" s="2">
        <v>36</v>
      </c>
      <c r="Y128" s="2">
        <v>3</v>
      </c>
      <c r="Z128" s="2">
        <v>7</v>
      </c>
      <c r="AA128" s="2">
        <v>0</v>
      </c>
      <c r="AB128" s="238">
        <f>SUM(Raw_Data[[#This Row],[IC1_Inv1]:[IC2_Inv2]])</f>
        <v>45479</v>
      </c>
      <c r="AC128" s="238">
        <f>IF(Raw_Data[[#This Row],[33 kV Outgoinng Export Reading]]-Q127&gt;0,Raw_Data[[#This Row],[33 kV Outgoinng Export Reading]]-Q127,0)*1000</f>
        <v>45405.300000013085</v>
      </c>
      <c r="AD128" s="2">
        <f>IF(Raw_Data[[#This Row],[33 kV Outgoinng Import Reading]]-R127&gt;0,Raw_Data[[#This Row],[33 kV Outgoinng Import Reading]]-R127,0)*1000</f>
        <v>179.80000000000018</v>
      </c>
      <c r="AE128" s="238">
        <f>Raw_Data[[#This Row],[Export  (kWh)]]-Raw_Data[[#This Row],[Import (kWh)]]</f>
        <v>45225.500000013082</v>
      </c>
      <c r="AF128" s="238">
        <f>IFERROR(AVERAGE(Raw_Data[[#This Row],[POA1(Wh/m2)]:[POA2(Wh/m2)]]),"")</f>
        <v>5136</v>
      </c>
      <c r="AG128" s="238">
        <f>IFERROR(Raw_Data[[#This Row],[Avg. POA without Exclusion (W/m2)2]]-Raw_Data[[#This Row],[Avg. POA Lost (W/m2)]],"")</f>
        <v>5136</v>
      </c>
      <c r="AH128" s="35">
        <f t="shared" ref="AH128" si="106">IFERROR((J128-I128)*24,"")</f>
        <v>12.433333333333332</v>
      </c>
      <c r="AI128" s="238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31</v>
      </c>
      <c r="R41" s="141">
        <f t="shared" si="42"/>
        <v>143.43493099999995</v>
      </c>
      <c r="S41" s="149">
        <f>SUMIF($F$2:F41,F41,$R$2:R41)</f>
        <v>777.46793699999989</v>
      </c>
      <c r="T41" s="140">
        <f t="shared" si="43"/>
        <v>40.702654142805535</v>
      </c>
      <c r="U41" s="141">
        <f t="shared" si="44"/>
        <v>1261.7822784269715</v>
      </c>
      <c r="V41" s="149">
        <f>SUMIF($F$2:F41,F41,$U$2:U41)</f>
        <v>6619.5431833120601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0.1928987154539453</v>
      </c>
      <c r="Z41" s="140">
        <f>IFERROR(AVERAGEIF('Daily KPI'!D:D,Table14[[#This Row],[Month]],'Daily KPI'!AB:AB),"")</f>
        <v>11.72000000000001</v>
      </c>
      <c r="AA41" s="143">
        <f>IFERROR(AVERAGEIF($F$2:F41,F41,$Z$2:Z41),"")</f>
        <v>11.72000000000001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777.46793699999989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6619.5431833120601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0.1928987154539453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11.72000000000001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777.46793699999989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6619.5431833120601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0.1928987154539453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11.72000000000001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777.46793699999989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6619.5431833120601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0.1928987154539453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11.72000000000001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777.46793699999989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6619.5431833120601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0.1928987154539453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11.72000000000001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777.46793699999989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6619.5431833120601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0.1928987154539453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11.72000000000001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777.46793699999989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6619.5431833120601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0.1928987154539453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11.72000000000001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777.46793699999989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6619.5431833120601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0.1928987154539453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11.72000000000001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777.46793699999989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6619.5431833120601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0.1928987154539453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11.72000000000001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7"/>
  <sheetViews>
    <sheetView topLeftCell="A2" workbookViewId="0">
      <pane xSplit="1" ySplit="1" topLeftCell="B113" activePane="bottomRight" state="frozen"/>
      <selection pane="topRight" activeCell="B2" sqref="B2"/>
      <selection pane="bottomLeft" activeCell="A3" sqref="A3"/>
      <selection pane="bottomRight" activeCell="J128" sqref="J128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27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  <row r="117" spans="1:17">
      <c r="A117" s="214">
        <f t="shared" ref="A117" si="434">YEAR(H117)+IF(MONTH(H117)&gt;=4,1,0)</f>
        <v>2026</v>
      </c>
      <c r="B117" s="215">
        <f t="shared" ref="B117" si="435">YEAR(H117)</f>
        <v>2025</v>
      </c>
      <c r="C117" s="196">
        <f>YEAR(Table12[[#This Row],[Date]])</f>
        <v>2025</v>
      </c>
      <c r="D117" s="196" t="s">
        <v>155</v>
      </c>
      <c r="E117" s="196" t="s">
        <v>155</v>
      </c>
      <c r="F117" s="197">
        <v>45839</v>
      </c>
      <c r="G117" s="196">
        <f t="shared" ref="G117" si="436">DAY(EOMONTH(F117,0))</f>
        <v>31</v>
      </c>
      <c r="H117" s="198">
        <f t="shared" si="239"/>
        <v>45859</v>
      </c>
      <c r="I117" s="199">
        <f>'Modelling New'!$AQ$1</f>
        <v>11.72</v>
      </c>
      <c r="J117" s="30">
        <f>'Raw Data'!K118/J$1</f>
        <v>4.1972606874693437</v>
      </c>
      <c r="K117" s="30">
        <f>'Raw Data'!L118/K$1</f>
        <v>4.1763386758106646</v>
      </c>
      <c r="L117" s="30">
        <f>'Raw Data'!M118/L$1</f>
        <v>4.1025527486882014</v>
      </c>
      <c r="M117" s="30">
        <f>'Raw Data'!N118/M$1</f>
        <v>4.2868178183740122</v>
      </c>
      <c r="N117" s="30">
        <f>'Raw Data'!O118/N$1</f>
        <v>4.1893861952720277</v>
      </c>
      <c r="O117" s="30">
        <f>'Raw Data'!P118/O$1</f>
        <v>4.2346534653465344</v>
      </c>
      <c r="P117" s="30">
        <f t="shared" ref="P117" si="437">IFERROR(AVERAGEIF(J117:O117,"&gt;"&amp;0,J117:O117),"")</f>
        <v>4.1978349318267973</v>
      </c>
      <c r="Q117" s="30">
        <f t="shared" ref="Q117" si="438">MAXA(J117:O117)</f>
        <v>4.2868178183740122</v>
      </c>
    </row>
    <row r="118" spans="1:17">
      <c r="A118" s="214">
        <f t="shared" ref="A118" si="439">YEAR(H118)+IF(MONTH(H118)&gt;=4,1,0)</f>
        <v>2026</v>
      </c>
      <c r="B118" s="215">
        <f t="shared" ref="B118" si="440">YEAR(H118)</f>
        <v>2025</v>
      </c>
      <c r="C118" s="196">
        <f>YEAR(Table12[[#This Row],[Date]])</f>
        <v>2025</v>
      </c>
      <c r="D118" s="196" t="s">
        <v>155</v>
      </c>
      <c r="E118" s="196" t="s">
        <v>155</v>
      </c>
      <c r="F118" s="197">
        <v>45839</v>
      </c>
      <c r="G118" s="196">
        <f t="shared" ref="G118" si="441">DAY(EOMONTH(F118,0))</f>
        <v>31</v>
      </c>
      <c r="H118" s="198">
        <f t="shared" si="239"/>
        <v>45860</v>
      </c>
      <c r="I118" s="199">
        <f>'Modelling New'!$AQ$1</f>
        <v>11.72</v>
      </c>
      <c r="J118" s="30">
        <f>'Raw Data'!K119/J$1</f>
        <v>3.1201499201348275</v>
      </c>
      <c r="K118" s="30">
        <f>'Raw Data'!L119/K$1</f>
        <v>3.4147218030676374</v>
      </c>
      <c r="L118" s="30">
        <f>'Raw Data'!M119/L$1</f>
        <v>3.3044036575375828</v>
      </c>
      <c r="M118" s="30">
        <f>'Raw Data'!N119/M$1</f>
        <v>3.5213920774099123</v>
      </c>
      <c r="N118" s="30">
        <f>'Raw Data'!O119/N$1</f>
        <v>3.4136839421713225</v>
      </c>
      <c r="O118" s="30">
        <f>'Raw Data'!P119/O$1</f>
        <v>3.5108910891089109</v>
      </c>
      <c r="P118" s="30">
        <f t="shared" ref="P118" si="442">IFERROR(AVERAGEIF(J118:O118,"&gt;"&amp;0,J118:O118),"")</f>
        <v>3.3808737482383653</v>
      </c>
      <c r="Q118" s="30">
        <f t="shared" ref="Q118" si="443">MAXA(J118:O118)</f>
        <v>3.5213920774099123</v>
      </c>
    </row>
    <row r="119" spans="1:17">
      <c r="A119" s="214">
        <f t="shared" ref="A119" si="444">YEAR(H119)+IF(MONTH(H119)&gt;=4,1,0)</f>
        <v>2026</v>
      </c>
      <c r="B119" s="215">
        <f t="shared" ref="B119" si="445">YEAR(H119)</f>
        <v>2025</v>
      </c>
      <c r="C119" s="196">
        <f>YEAR(Table12[[#This Row],[Date]])</f>
        <v>2025</v>
      </c>
      <c r="D119" s="196" t="s">
        <v>155</v>
      </c>
      <c r="E119" s="196" t="s">
        <v>155</v>
      </c>
      <c r="F119" s="197">
        <v>45839</v>
      </c>
      <c r="G119" s="196">
        <f t="shared" ref="G119" si="446">DAY(EOMONTH(F119,0))</f>
        <v>31</v>
      </c>
      <c r="H119" s="198">
        <f t="shared" si="239"/>
        <v>45861</v>
      </c>
      <c r="I119" s="199">
        <f>'Modelling New'!$AQ$1</f>
        <v>11.72</v>
      </c>
      <c r="J119" s="30">
        <f>'Raw Data'!K120/J$1</f>
        <v>1.8262083537712712</v>
      </c>
      <c r="K119" s="30">
        <f>'Raw Data'!L120/K$1</f>
        <v>1.8525948882559859</v>
      </c>
      <c r="L119" s="30">
        <f>'Raw Data'!M120/L$1</f>
        <v>1.8204662696216263</v>
      </c>
      <c r="M119" s="30">
        <f>'Raw Data'!N120/M$1</f>
        <v>1.8279147298377807</v>
      </c>
      <c r="N119" s="30">
        <f>'Raw Data'!O120/N$1</f>
        <v>1.7474339205140326</v>
      </c>
      <c r="O119" s="30">
        <f>'Raw Data'!P120/O$1</f>
        <v>1.8237623762376238</v>
      </c>
      <c r="P119" s="30">
        <f t="shared" ref="P119" si="447">IFERROR(AVERAGEIF(J119:O119,"&gt;"&amp;0,J119:O119),"")</f>
        <v>1.8163967563730534</v>
      </c>
      <c r="Q119" s="30">
        <f t="shared" ref="Q119" si="448">MAXA(J119:O119)</f>
        <v>1.8525948882559859</v>
      </c>
    </row>
    <row r="120" spans="1:17">
      <c r="A120" s="214">
        <f t="shared" ref="A120" si="449">YEAR(H120)+IF(MONTH(H120)&gt;=4,1,0)</f>
        <v>2026</v>
      </c>
      <c r="B120" s="215">
        <f t="shared" ref="B120" si="450">YEAR(H120)</f>
        <v>2025</v>
      </c>
      <c r="C120" s="196">
        <f>YEAR(Table12[[#This Row],[Date]])</f>
        <v>2025</v>
      </c>
      <c r="D120" s="196" t="s">
        <v>155</v>
      </c>
      <c r="E120" s="196" t="s">
        <v>155</v>
      </c>
      <c r="F120" s="197">
        <v>45839</v>
      </c>
      <c r="G120" s="196">
        <f t="shared" ref="G120" si="451">DAY(EOMONTH(F120,0))</f>
        <v>31</v>
      </c>
      <c r="H120" s="198">
        <f t="shared" si="239"/>
        <v>45862</v>
      </c>
      <c r="I120" s="199">
        <f>'Modelling New'!$AQ$1</f>
        <v>11.72</v>
      </c>
      <c r="J120" s="30">
        <f>'Raw Data'!K121/J$1</f>
        <v>1.5545409953590161</v>
      </c>
      <c r="K120" s="30">
        <f>'Raw Data'!L121/K$1</f>
        <v>1.5350493918634505</v>
      </c>
      <c r="L120" s="30">
        <f>'Raw Data'!M121/L$1</f>
        <v>1.5415015387340314</v>
      </c>
      <c r="M120" s="30">
        <f>'Raw Data'!N121/M$1</f>
        <v>1.5395248614292103</v>
      </c>
      <c r="N120" s="30">
        <f>'Raw Data'!O121/N$1</f>
        <v>1.4860613680972028</v>
      </c>
      <c r="O120" s="30">
        <f>'Raw Data'!P121/O$1</f>
        <v>1.5554455445544555</v>
      </c>
      <c r="P120" s="30">
        <f t="shared" ref="P120" si="452">IFERROR(AVERAGEIF(J120:O120,"&gt;"&amp;0,J120:O120),"")</f>
        <v>1.5353539500062279</v>
      </c>
      <c r="Q120" s="30">
        <f t="shared" ref="Q120" si="453">MAXA(J120:O120)</f>
        <v>1.5554455445544555</v>
      </c>
    </row>
    <row r="121" spans="1:17">
      <c r="A121" s="214">
        <f t="shared" ref="A121" si="454">YEAR(H121)+IF(MONTH(H121)&gt;=4,1,0)</f>
        <v>2026</v>
      </c>
      <c r="B121" s="215">
        <f t="shared" ref="B121" si="455">YEAR(H121)</f>
        <v>2025</v>
      </c>
      <c r="C121" s="196">
        <f>YEAR(Table12[[#This Row],[Date]])</f>
        <v>2025</v>
      </c>
      <c r="D121" s="196" t="s">
        <v>155</v>
      </c>
      <c r="E121" s="196" t="s">
        <v>155</v>
      </c>
      <c r="F121" s="197">
        <v>45839</v>
      </c>
      <c r="G121" s="196">
        <f t="shared" ref="G121" si="456">DAY(EOMONTH(F121,0))</f>
        <v>31</v>
      </c>
      <c r="H121" s="198">
        <f t="shared" si="239"/>
        <v>45863</v>
      </c>
      <c r="I121" s="199">
        <f>'Modelling New'!$AQ$1</f>
        <v>11.72</v>
      </c>
      <c r="J121" s="30">
        <f>'Raw Data'!K122/J$1</f>
        <v>1.5872416959086393</v>
      </c>
      <c r="K121" s="30">
        <f>'Raw Data'!L122/K$1</f>
        <v>1.589204437759852</v>
      </c>
      <c r="L121" s="30">
        <f>'Raw Data'!M122/L$1</f>
        <v>1.5863351561981092</v>
      </c>
      <c r="M121" s="30">
        <f>'Raw Data'!N122/M$1</f>
        <v>1.5698816896827441</v>
      </c>
      <c r="N121" s="30">
        <f>'Raw Data'!O122/N$1</f>
        <v>1.5043772477173216</v>
      </c>
      <c r="O121" s="30">
        <f>'Raw Data'!P122/O$1</f>
        <v>1.5861386138613862</v>
      </c>
      <c r="P121" s="30">
        <f t="shared" ref="P121" si="457">IFERROR(AVERAGEIF(J121:O121,"&gt;"&amp;0,J121:O121),"")</f>
        <v>1.5705298068546754</v>
      </c>
      <c r="Q121" s="30">
        <f t="shared" ref="Q121" si="458">MAXA(J121:O121)</f>
        <v>1.589204437759852</v>
      </c>
    </row>
    <row r="122" spans="1:17">
      <c r="A122" s="214">
        <f t="shared" ref="A122" si="459">YEAR(H122)+IF(MONTH(H122)&gt;=4,1,0)</f>
        <v>2026</v>
      </c>
      <c r="B122" s="215">
        <f t="shared" ref="B122" si="460">YEAR(H122)</f>
        <v>2025</v>
      </c>
      <c r="C122" s="196">
        <f>YEAR(Table12[[#This Row],[Date]])</f>
        <v>2025</v>
      </c>
      <c r="D122" s="196" t="s">
        <v>155</v>
      </c>
      <c r="E122" s="196" t="s">
        <v>155</v>
      </c>
      <c r="F122" s="197">
        <v>45839</v>
      </c>
      <c r="G122" s="196">
        <f t="shared" ref="G122" si="461">DAY(EOMONTH(F122,0))</f>
        <v>31</v>
      </c>
      <c r="H122" s="198">
        <f t="shared" si="239"/>
        <v>45864</v>
      </c>
      <c r="I122" s="199">
        <f>'Modelling New'!$AQ$1</f>
        <v>11.72</v>
      </c>
      <c r="J122" s="30">
        <f>'Raw Data'!K123/J$1</f>
        <v>1.03233596196657</v>
      </c>
      <c r="K122" s="30">
        <f>'Raw Data'!L123/K$1</f>
        <v>1.0289458720316267</v>
      </c>
      <c r="L122" s="30">
        <f>'Raw Data'!M123/L$1</f>
        <v>1.0278521929727455</v>
      </c>
      <c r="M122" s="30">
        <f>'Raw Data'!N123/M$1</f>
        <v>1.028337557088455</v>
      </c>
      <c r="N122" s="30">
        <f>'Raw Data'!O123/N$1</f>
        <v>0.97816697646904494</v>
      </c>
      <c r="O122" s="30">
        <f>'Raw Data'!P123/O$1</f>
        <v>1.0326732673267327</v>
      </c>
      <c r="P122" s="30">
        <f t="shared" ref="P122" si="462">IFERROR(AVERAGEIF(J122:O122,"&gt;"&amp;0,J122:O122),"")</f>
        <v>1.0213853046425292</v>
      </c>
      <c r="Q122" s="30">
        <f t="shared" ref="Q122" si="463">MAXA(J122:O122)</f>
        <v>1.0326732673267327</v>
      </c>
    </row>
    <row r="123" spans="1:17">
      <c r="A123" s="214">
        <f t="shared" ref="A123" si="464">YEAR(H123)+IF(MONTH(H123)&gt;=4,1,0)</f>
        <v>2026</v>
      </c>
      <c r="B123" s="215">
        <f t="shared" ref="B123" si="465">YEAR(H123)</f>
        <v>2025</v>
      </c>
      <c r="C123" s="196">
        <f>YEAR(Table12[[#This Row],[Date]])</f>
        <v>2025</v>
      </c>
      <c r="D123" s="196" t="s">
        <v>155</v>
      </c>
      <c r="E123" s="196" t="s">
        <v>155</v>
      </c>
      <c r="F123" s="197">
        <v>45839</v>
      </c>
      <c r="G123" s="196">
        <f t="shared" ref="G123" si="466">DAY(EOMONTH(F123,0))</f>
        <v>31</v>
      </c>
      <c r="H123" s="198">
        <f t="shared" si="239"/>
        <v>45865</v>
      </c>
      <c r="I123" s="199">
        <f>'Modelling New'!$AQ$1</f>
        <v>11.72</v>
      </c>
      <c r="J123" s="30">
        <f>'Raw Data'!K124/J$1</f>
        <v>3.4054006464676956</v>
      </c>
      <c r="K123" s="30">
        <f>'Raw Data'!L124/K$1</f>
        <v>3.38124413833168</v>
      </c>
      <c r="L123" s="30">
        <f>'Raw Data'!M124/L$1</f>
        <v>3.3381672459981844</v>
      </c>
      <c r="M123" s="30">
        <f>'Raw Data'!N124/M$1</f>
        <v>3.4400791445879468</v>
      </c>
      <c r="N123" s="30">
        <f>'Raw Data'!O124/N$1</f>
        <v>3.3567562082168996</v>
      </c>
      <c r="O123" s="30">
        <f>'Raw Data'!P124/O$1</f>
        <v>3.4608910891089111</v>
      </c>
      <c r="P123" s="30">
        <f t="shared" ref="P123" si="467">IFERROR(AVERAGEIF(J123:O123,"&gt;"&amp;0,J123:O123),"")</f>
        <v>3.3970897454518867</v>
      </c>
      <c r="Q123" s="30">
        <f t="shared" ref="Q123" si="468">MAXA(J123:O123)</f>
        <v>3.4608910891089111</v>
      </c>
    </row>
    <row r="124" spans="1:17">
      <c r="A124" s="214">
        <f t="shared" ref="A124" si="469">YEAR(H124)+IF(MONTH(H124)&gt;=4,1,0)</f>
        <v>2026</v>
      </c>
      <c r="B124" s="215">
        <f t="shared" ref="B124" si="470">YEAR(H124)</f>
        <v>2025</v>
      </c>
      <c r="C124" s="196">
        <f>YEAR(Table12[[#This Row],[Date]])</f>
        <v>2025</v>
      </c>
      <c r="D124" s="196" t="s">
        <v>155</v>
      </c>
      <c r="E124" s="196" t="s">
        <v>155</v>
      </c>
      <c r="F124" s="197">
        <v>45839</v>
      </c>
      <c r="G124" s="196">
        <f t="shared" ref="G124" si="471">DAY(EOMONTH(F124,0))</f>
        <v>31</v>
      </c>
      <c r="H124" s="198">
        <f t="shared" si="239"/>
        <v>45866</v>
      </c>
      <c r="I124" s="199">
        <f>'Modelling New'!$AQ$1</f>
        <v>11.72</v>
      </c>
      <c r="J124" s="30">
        <f>'Raw Data'!K125/J$1</f>
        <v>3.3887987523425021</v>
      </c>
      <c r="K124" s="30">
        <f>'Raw Data'!L125/K$1</f>
        <v>3.413737165869521</v>
      </c>
      <c r="L124" s="30">
        <f>'Raw Data'!M125/L$1</f>
        <v>3.3558792924037459</v>
      </c>
      <c r="M124" s="30">
        <f>'Raw Data'!N125/M$1</f>
        <v>3.5322338017861741</v>
      </c>
      <c r="N124" s="30">
        <f>'Raw Data'!O125/N$1</f>
        <v>3.443880392355843</v>
      </c>
      <c r="O124" s="30">
        <f>'Raw Data'!P125/O$1</f>
        <v>3.5138613861386139</v>
      </c>
      <c r="P124" s="30">
        <f t="shared" ref="P124" si="472">IFERROR(AVERAGEIF(J124:O124,"&gt;"&amp;0,J124:O124),"")</f>
        <v>3.4413984651493998</v>
      </c>
      <c r="Q124" s="30">
        <f t="shared" ref="Q124" si="473">MAXA(J124:O124)</f>
        <v>3.5322338017861741</v>
      </c>
    </row>
    <row r="125" spans="1:17">
      <c r="A125" s="214">
        <f t="shared" ref="A125" si="474">YEAR(H125)+IF(MONTH(H125)&gt;=4,1,0)</f>
        <v>2026</v>
      </c>
      <c r="B125" s="215">
        <f t="shared" ref="B125" si="475">YEAR(H125)</f>
        <v>2025</v>
      </c>
      <c r="C125" s="196">
        <f>YEAR(Table12[[#This Row],[Date]])</f>
        <v>2025</v>
      </c>
      <c r="D125" s="196" t="s">
        <v>155</v>
      </c>
      <c r="E125" s="196" t="s">
        <v>155</v>
      </c>
      <c r="F125" s="197">
        <v>45839</v>
      </c>
      <c r="G125" s="196">
        <f t="shared" ref="G125" si="476">DAY(EOMONTH(F125,0))</f>
        <v>31</v>
      </c>
      <c r="H125" s="198">
        <f t="shared" si="239"/>
        <v>45867</v>
      </c>
      <c r="I125" s="199">
        <f>'Modelling New'!$AQ$1</f>
        <v>11.72</v>
      </c>
      <c r="J125" s="30">
        <f>'Raw Data'!K126/J$1</f>
        <v>3.1971223383516332</v>
      </c>
      <c r="K125" s="30">
        <f>'Raw Data'!L126/K$1</f>
        <v>3.20400944267073</v>
      </c>
      <c r="L125" s="30">
        <f>'Raw Data'!M126/L$1</f>
        <v>3.1571722717913522</v>
      </c>
      <c r="M125" s="30">
        <f>'Raw Data'!N126/M$1</f>
        <v>3.2411335022835384</v>
      </c>
      <c r="N125" s="30">
        <f>'Raw Data'!O126/N$1</f>
        <v>3.1166696780612888</v>
      </c>
      <c r="O125" s="30">
        <f>'Raw Data'!P126/O$1</f>
        <v>3.2410891089108911</v>
      </c>
      <c r="P125" s="30">
        <f t="shared" ref="P125" si="477">IFERROR(AVERAGEIF(J125:O125,"&gt;"&amp;0,J125:O125),"")</f>
        <v>3.1928660570115723</v>
      </c>
      <c r="Q125" s="30">
        <f t="shared" ref="Q125" si="478">MAXA(J125:O125)</f>
        <v>3.2411335022835384</v>
      </c>
    </row>
    <row r="126" spans="1:17">
      <c r="A126" s="214">
        <f t="shared" ref="A126" si="479">YEAR(H126)+IF(MONTH(H126)&gt;=4,1,0)</f>
        <v>2026</v>
      </c>
      <c r="B126" s="215">
        <f t="shared" ref="B126" si="480">YEAR(H126)</f>
        <v>2025</v>
      </c>
      <c r="C126" s="196">
        <f>YEAR(Table12[[#This Row],[Date]])</f>
        <v>2025</v>
      </c>
      <c r="D126" s="196" t="s">
        <v>155</v>
      </c>
      <c r="E126" s="196" t="s">
        <v>155</v>
      </c>
      <c r="F126" s="197">
        <v>45839</v>
      </c>
      <c r="G126" s="196">
        <f t="shared" ref="G126" si="481">DAY(EOMONTH(F126,0))</f>
        <v>31</v>
      </c>
      <c r="H126" s="198">
        <f t="shared" si="239"/>
        <v>45868</v>
      </c>
      <c r="I126" s="199">
        <f>'Modelling New'!$AQ$1</f>
        <v>11.72</v>
      </c>
      <c r="J126" s="30">
        <f>'Raw Data'!K127/J$1</f>
        <v>2.5753059402080267</v>
      </c>
      <c r="K126" s="30">
        <f>'Raw Data'!L127/K$1</f>
        <v>2.5408562897393421</v>
      </c>
      <c r="L126" s="30">
        <f>'Raw Data'!M127/L$1</f>
        <v>2.4824540040294907</v>
      </c>
      <c r="M126" s="30">
        <f>'Raw Data'!N127/M$1</f>
        <v>2.6003875916464514</v>
      </c>
      <c r="N126" s="30">
        <f>'Raw Data'!O127/N$1</f>
        <v>2.5513525287051912</v>
      </c>
      <c r="O126" s="30">
        <f>'Raw Data'!P127/O$1</f>
        <v>2.605940594059406</v>
      </c>
      <c r="P126" s="30">
        <f t="shared" ref="P126" si="482">IFERROR(AVERAGEIF(J126:O126,"&gt;"&amp;0,J126:O126),"")</f>
        <v>2.5593828247313182</v>
      </c>
      <c r="Q126" s="30">
        <f t="shared" ref="Q126" si="483">MAXA(J126:O126)</f>
        <v>2.605940594059406</v>
      </c>
    </row>
    <row r="127" spans="1:17">
      <c r="A127" s="214">
        <f t="shared" ref="A127" si="484">YEAR(H127)+IF(MONTH(H127)&gt;=4,1,0)</f>
        <v>2026</v>
      </c>
      <c r="B127" s="215">
        <f t="shared" ref="B127" si="485">YEAR(H127)</f>
        <v>2025</v>
      </c>
      <c r="C127" s="196">
        <f>YEAR(Table12[[#This Row],[Date]])</f>
        <v>2025</v>
      </c>
      <c r="D127" s="196" t="s">
        <v>155</v>
      </c>
      <c r="E127" s="196" t="s">
        <v>155</v>
      </c>
      <c r="F127" s="197">
        <v>45839</v>
      </c>
      <c r="G127" s="196">
        <f t="shared" ref="G127" si="486">DAY(EOMONTH(F127,0))</f>
        <v>31</v>
      </c>
      <c r="H127" s="198">
        <f t="shared" si="239"/>
        <v>45869</v>
      </c>
      <c r="I127" s="199">
        <f>'Modelling New'!$AQ$1</f>
        <v>11.72</v>
      </c>
      <c r="J127" s="30">
        <f>'Raw Data'!K128/J$1</f>
        <v>3.7464941075853049</v>
      </c>
      <c r="K127" s="30">
        <f>'Raw Data'!L128/K$1</f>
        <v>3.8715934629936419</v>
      </c>
      <c r="L127" s="30">
        <f>'Raw Data'!M128/L$1</f>
        <v>3.8545840990103395</v>
      </c>
      <c r="M127" s="30">
        <f>'Raw Data'!N128/M$1</f>
        <v>3.9810811909634229</v>
      </c>
      <c r="N127" s="30">
        <f>'Raw Data'!O128/N$1</f>
        <v>3.8824714556916597</v>
      </c>
      <c r="O127" s="30">
        <f>'Raw Data'!P128/O$1</f>
        <v>3.968811881188119</v>
      </c>
      <c r="P127" s="30">
        <f t="shared" ref="P127" si="487">IFERROR(AVERAGEIF(J127:O127,"&gt;"&amp;0,J127:O127),"")</f>
        <v>3.8841726995720816</v>
      </c>
      <c r="Q127" s="30">
        <f t="shared" ref="Q127" si="488">MAXA(J127:O127)</f>
        <v>3.9810811909634229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26"/>
  <sheetViews>
    <sheetView zoomScale="106" zoomScaleNormal="106" workbookViewId="0">
      <pane xSplit="1" ySplit="1" topLeftCell="F111" activePane="bottomRight" state="frozen"/>
      <selection pane="topRight" activeCell="B1" sqref="B1"/>
      <selection pane="bottomLeft" activeCell="A2" sqref="A2"/>
      <selection pane="bottomRight" activeCell="J127" sqref="J127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 t="shared" ref="G112:G117" si="242">DAY(EOMONTH(F112,0))</f>
        <v>31</v>
      </c>
      <c r="H112" s="211">
        <f t="shared" ref="H112:H126" si="243"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4">YEAR(H113)+IF(MONTH(H113)&gt;=4,1,0)</f>
        <v>2026</v>
      </c>
      <c r="B113" s="217">
        <f t="shared" ref="B113" si="245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 t="shared" si="242"/>
        <v>31</v>
      </c>
      <c r="H113" s="211">
        <f t="shared" si="243"/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6">YEAR(H114)+IF(MONTH(H114)&gt;=4,1,0)</f>
        <v>2026</v>
      </c>
      <c r="B114" s="217">
        <f t="shared" ref="B114" si="247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 t="shared" si="242"/>
        <v>31</v>
      </c>
      <c r="H114" s="211">
        <f t="shared" si="243"/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8">YEAR(H115)+IF(MONTH(H115)&gt;=4,1,0)</f>
        <v>2026</v>
      </c>
      <c r="B115" s="217">
        <f t="shared" ref="B115" si="249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 t="shared" si="242"/>
        <v>31</v>
      </c>
      <c r="H115" s="211">
        <f t="shared" si="243"/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  <row r="116" spans="1:21">
      <c r="A116" s="216">
        <f t="shared" ref="A116" si="250">YEAR(H116)+IF(MONTH(H116)&gt;=4,1,0)</f>
        <v>2026</v>
      </c>
      <c r="B116" s="217">
        <f t="shared" ref="B116" si="251">YEAR(H116)</f>
        <v>2025</v>
      </c>
      <c r="C116" s="209" t="str">
        <f>TEXT(Table5[[#This Row],[Date]],"yyyy")</f>
        <v>2025</v>
      </c>
      <c r="D116" s="209" t="s">
        <v>224</v>
      </c>
      <c r="E116" s="209" t="s">
        <v>224</v>
      </c>
      <c r="F116" s="210" t="str">
        <f>TEXT(Table5[[#This Row],[Date]],"mmm-yy")</f>
        <v>Jul-25</v>
      </c>
      <c r="G116" s="209">
        <f t="shared" si="242"/>
        <v>31</v>
      </c>
      <c r="H116" s="211">
        <f t="shared" si="243"/>
        <v>45859</v>
      </c>
      <c r="I116" s="209">
        <v>11.72</v>
      </c>
      <c r="J116" s="212">
        <f>IFERROR(Inv_SY!J117/Inv_SY!$P117-1,"")</f>
        <v>-1.3679536398625292E-4</v>
      </c>
      <c r="K116" s="212">
        <f>IFERROR(Inv_SY!K117/Inv_SY!$P117-1,"")</f>
        <v>-5.1207959258126046E-3</v>
      </c>
      <c r="L116" s="212">
        <f>IFERROR(Inv_SY!L117/Inv_SY!$P117-1,"")</f>
        <v>-2.2697934693952204E-2</v>
      </c>
      <c r="M116" s="212">
        <f>IFERROR(Inv_SY!M117/Inv_SY!$P117-1,"")</f>
        <v>2.1197328621135547E-2</v>
      </c>
      <c r="N116" s="212">
        <f>IFERROR(Inv_SY!N117/Inv_SY!$P117-1,"")</f>
        <v>-2.0126414430242656E-3</v>
      </c>
      <c r="O116" s="212">
        <f>IFERROR(Inv_SY!O117/Inv_SY!$P117-1,"")</f>
        <v>8.7708388056397801E-3</v>
      </c>
      <c r="P116" s="212">
        <f>IFERROR(Inv_SY!P117/Inv_SY!$P117-1,"")</f>
        <v>0</v>
      </c>
      <c r="Q116" s="212">
        <f>IFERROR(Inv_SY!Q117/Inv_SY!$P117-1,"")</f>
        <v>2.1197328621135547E-2</v>
      </c>
      <c r="R116" s="212">
        <f>IFERROR(Inv_SY!L117/Inv_SY!$Q117-1,"")</f>
        <v>-4.2984114905938009E-2</v>
      </c>
      <c r="S116" s="212">
        <f>IFERROR(Inv_SY!M117/Inv_SY!$Q117-1,"")</f>
        <v>0</v>
      </c>
      <c r="T116" s="212">
        <f>IFERROR(Inv_SY!N117/Inv_SY!$Q117-1,"")</f>
        <v>-2.2728193086343995E-2</v>
      </c>
      <c r="U116" s="213">
        <f>IFERROR(Inv_SY!O117/Inv_SY!$Q117-1,"")</f>
        <v>-1.2168549081767122E-2</v>
      </c>
    </row>
    <row r="117" spans="1:21">
      <c r="A117" s="216">
        <f t="shared" ref="A117" si="252">YEAR(H117)+IF(MONTH(H117)&gt;=4,1,0)</f>
        <v>2026</v>
      </c>
      <c r="B117" s="217">
        <f t="shared" ref="B117" si="253">YEAR(H117)</f>
        <v>2025</v>
      </c>
      <c r="C117" s="209" t="str">
        <f>TEXT(Table5[[#This Row],[Date]],"yyyy")</f>
        <v>2025</v>
      </c>
      <c r="D117" s="209" t="s">
        <v>224</v>
      </c>
      <c r="E117" s="209" t="s">
        <v>224</v>
      </c>
      <c r="F117" s="210" t="str">
        <f>TEXT(Table5[[#This Row],[Date]],"mmm-yy")</f>
        <v>Jul-25</v>
      </c>
      <c r="G117" s="209">
        <f t="shared" si="242"/>
        <v>31</v>
      </c>
      <c r="H117" s="211">
        <f t="shared" si="243"/>
        <v>45860</v>
      </c>
      <c r="I117" s="209">
        <v>11.72</v>
      </c>
      <c r="J117" s="212">
        <f>IFERROR(Inv_SY!J118/Inv_SY!$P118-1,"")</f>
        <v>-7.7117292013459626E-2</v>
      </c>
      <c r="K117" s="212">
        <f>IFERROR(Inv_SY!K118/Inv_SY!$P118-1,"")</f>
        <v>1.0011629344901962E-2</v>
      </c>
      <c r="L117" s="212">
        <f>IFERROR(Inv_SY!L118/Inv_SY!$P118-1,"")</f>
        <v>-2.2618440200740442E-2</v>
      </c>
      <c r="M117" s="212">
        <f>IFERROR(Inv_SY!M118/Inv_SY!$P118-1,"")</f>
        <v>4.1562725980159865E-2</v>
      </c>
      <c r="N117" s="212">
        <f>IFERROR(Inv_SY!N118/Inv_SY!$P118-1,"")</f>
        <v>9.7046492641297277E-3</v>
      </c>
      <c r="O117" s="212">
        <f>IFERROR(Inv_SY!O118/Inv_SY!$P118-1,"")</f>
        <v>3.8456727625008957E-2</v>
      </c>
      <c r="P117" s="212">
        <f>IFERROR(Inv_SY!P118/Inv_SY!$P118-1,"")</f>
        <v>0</v>
      </c>
      <c r="Q117" s="212">
        <f>IFERROR(Inv_SY!Q118/Inv_SY!$P118-1,"")</f>
        <v>4.1562725980159865E-2</v>
      </c>
      <c r="R117" s="212">
        <f>IFERROR(Inv_SY!L118/Inv_SY!$Q118-1,"")</f>
        <v>-6.1620068172565157E-2</v>
      </c>
      <c r="S117" s="212">
        <f>IFERROR(Inv_SY!M118/Inv_SY!$Q118-1,"")</f>
        <v>0</v>
      </c>
      <c r="T117" s="212">
        <f>IFERROR(Inv_SY!N118/Inv_SY!$Q118-1,"")</f>
        <v>-3.0586805692427221E-2</v>
      </c>
      <c r="U117" s="213">
        <f>IFERROR(Inv_SY!O118/Inv_SY!$Q118-1,"")</f>
        <v>-2.9820559796127633E-3</v>
      </c>
    </row>
    <row r="118" spans="1:21">
      <c r="A118" s="216">
        <f t="shared" ref="A118" si="254">YEAR(H118)+IF(MONTH(H118)&gt;=4,1,0)</f>
        <v>2026</v>
      </c>
      <c r="B118" s="217">
        <f t="shared" ref="B118" si="255">YEAR(H118)</f>
        <v>2025</v>
      </c>
      <c r="C118" s="209" t="str">
        <f>TEXT(Table5[[#This Row],[Date]],"yyyy")</f>
        <v>2025</v>
      </c>
      <c r="D118" s="209" t="s">
        <v>224</v>
      </c>
      <c r="E118" s="209" t="s">
        <v>224</v>
      </c>
      <c r="F118" s="210" t="str">
        <f>TEXT(Table5[[#This Row],[Date]],"mmm-yy")</f>
        <v>Jul-25</v>
      </c>
      <c r="G118" s="209">
        <f t="shared" ref="G118" si="256">DAY(EOMONTH(F118,0))</f>
        <v>31</v>
      </c>
      <c r="H118" s="211">
        <f t="shared" si="243"/>
        <v>45861</v>
      </c>
      <c r="I118" s="209">
        <v>11.72</v>
      </c>
      <c r="J118" s="212">
        <f>IFERROR(Inv_SY!J119/Inv_SY!$P119-1,"")</f>
        <v>5.4016818538089595E-3</v>
      </c>
      <c r="K118" s="212">
        <f>IFERROR(Inv_SY!K119/Inv_SY!$P119-1,"")</f>
        <v>1.9928538055315803E-2</v>
      </c>
      <c r="L118" s="212">
        <f>IFERROR(Inv_SY!L119/Inv_SY!$P119-1,"")</f>
        <v>2.2404319069027068E-3</v>
      </c>
      <c r="M118" s="212">
        <f>IFERROR(Inv_SY!M119/Inv_SY!$P119-1,"")</f>
        <v>6.3411110068960497E-3</v>
      </c>
      <c r="N118" s="212">
        <f>IFERROR(Inv_SY!N119/Inv_SY!$P119-1,"")</f>
        <v>-3.7966834953352624E-2</v>
      </c>
      <c r="O118" s="212">
        <f>IFERROR(Inv_SY!O119/Inv_SY!$P119-1,"")</f>
        <v>4.0550721304293269E-3</v>
      </c>
      <c r="P118" s="212">
        <f>IFERROR(Inv_SY!P119/Inv_SY!$P119-1,"")</f>
        <v>0</v>
      </c>
      <c r="Q118" s="212">
        <f>IFERROR(Inv_SY!Q119/Inv_SY!$P119-1,"")</f>
        <v>1.9928538055315803E-2</v>
      </c>
      <c r="R118" s="212">
        <f>IFERROR(Inv_SY!L119/Inv_SY!$Q119-1,"")</f>
        <v>-1.7342495565560556E-2</v>
      </c>
      <c r="S118" s="212">
        <f>IFERROR(Inv_SY!M119/Inv_SY!$Q119-1,"")</f>
        <v>-1.3321940255075937E-2</v>
      </c>
      <c r="T118" s="212">
        <f>IFERROR(Inv_SY!N119/Inv_SY!$Q119-1,"")</f>
        <v>-5.6764146553891726E-2</v>
      </c>
      <c r="U118" s="213">
        <f>IFERROR(Inv_SY!O119/Inv_SY!$Q119-1,"")</f>
        <v>-1.5563311871979013E-2</v>
      </c>
    </row>
    <row r="119" spans="1:21">
      <c r="A119" s="216">
        <f t="shared" ref="A119" si="257">YEAR(H119)+IF(MONTH(H119)&gt;=4,1,0)</f>
        <v>2026</v>
      </c>
      <c r="B119" s="217">
        <f t="shared" ref="B119" si="258">YEAR(H119)</f>
        <v>2025</v>
      </c>
      <c r="C119" s="209" t="str">
        <f>TEXT(Table5[[#This Row],[Date]],"yyyy")</f>
        <v>2025</v>
      </c>
      <c r="D119" s="209" t="s">
        <v>224</v>
      </c>
      <c r="E119" s="209" t="s">
        <v>224</v>
      </c>
      <c r="F119" s="210" t="str">
        <f>TEXT(Table5[[#This Row],[Date]],"mmm-yy")</f>
        <v>Jul-25</v>
      </c>
      <c r="G119" s="209">
        <f t="shared" ref="G119" si="259">DAY(EOMONTH(F119,0))</f>
        <v>31</v>
      </c>
      <c r="H119" s="211">
        <f t="shared" si="243"/>
        <v>45862</v>
      </c>
      <c r="I119" s="209">
        <v>11.72</v>
      </c>
      <c r="J119" s="212">
        <f>IFERROR(Inv_SY!J120/Inv_SY!$P120-1,"")</f>
        <v>1.2496822216603753E-2</v>
      </c>
      <c r="K119" s="212">
        <f>IFERROR(Inv_SY!K120/Inv_SY!$P120-1,"")</f>
        <v>-1.9836347363166862E-4</v>
      </c>
      <c r="L119" s="212">
        <f>IFERROR(Inv_SY!L120/Inv_SY!$P120-1,"")</f>
        <v>4.0040205242437565E-3</v>
      </c>
      <c r="M119" s="212">
        <f>IFERROR(Inv_SY!M120/Inv_SY!$P120-1,"")</f>
        <v>2.7165797326182961E-3</v>
      </c>
      <c r="N119" s="212">
        <f>IFERROR(Inv_SY!N120/Inv_SY!$P120-1,"")</f>
        <v>-3.210502823067285E-2</v>
      </c>
      <c r="O119" s="212">
        <f>IFERROR(Inv_SY!O120/Inv_SY!$P120-1,"")</f>
        <v>1.3085969230838268E-2</v>
      </c>
      <c r="P119" s="212">
        <f>IFERROR(Inv_SY!P120/Inv_SY!$P120-1,"")</f>
        <v>0</v>
      </c>
      <c r="Q119" s="212">
        <f>IFERROR(Inv_SY!Q120/Inv_SY!$P120-1,"")</f>
        <v>1.3085969230838268E-2</v>
      </c>
      <c r="R119" s="212">
        <f>IFERROR(Inv_SY!L120/Inv_SY!$Q120-1,"")</f>
        <v>-8.964637733054337E-3</v>
      </c>
      <c r="S119" s="212">
        <f>IFERROR(Inv_SY!M120/Inv_SY!$Q120-1,"")</f>
        <v>-1.0235448731061525E-2</v>
      </c>
      <c r="T119" s="212">
        <f>IFERROR(Inv_SY!N120/Inv_SY!$Q120-1,"")</f>
        <v>-4.4607268123377009E-2</v>
      </c>
      <c r="U119" s="213">
        <f>IFERROR(Inv_SY!O120/Inv_SY!$Q120-1,"")</f>
        <v>0</v>
      </c>
    </row>
    <row r="120" spans="1:21">
      <c r="A120" s="216">
        <f t="shared" ref="A120" si="260">YEAR(H120)+IF(MONTH(H120)&gt;=4,1,0)</f>
        <v>2026</v>
      </c>
      <c r="B120" s="217">
        <f t="shared" ref="B120" si="261">YEAR(H120)</f>
        <v>2025</v>
      </c>
      <c r="C120" s="209" t="str">
        <f>TEXT(Table5[[#This Row],[Date]],"yyyy")</f>
        <v>2025</v>
      </c>
      <c r="D120" s="209" t="s">
        <v>224</v>
      </c>
      <c r="E120" s="209" t="s">
        <v>224</v>
      </c>
      <c r="F120" s="210" t="str">
        <f>TEXT(Table5[[#This Row],[Date]],"mmm-yy")</f>
        <v>Jul-25</v>
      </c>
      <c r="G120" s="209">
        <f t="shared" ref="G120" si="262">DAY(EOMONTH(F120,0))</f>
        <v>31</v>
      </c>
      <c r="H120" s="211">
        <f t="shared" si="243"/>
        <v>45863</v>
      </c>
      <c r="I120" s="209">
        <v>11.72</v>
      </c>
      <c r="J120" s="212">
        <f>IFERROR(Inv_SY!J121/Inv_SY!$P121-1,"")</f>
        <v>1.0640924470852964E-2</v>
      </c>
      <c r="K120" s="212">
        <f>IFERROR(Inv_SY!K121/Inv_SY!$P121-1,"")</f>
        <v>1.1890656785799258E-2</v>
      </c>
      <c r="L120" s="212">
        <f>IFERROR(Inv_SY!L121/Inv_SY!$P121-1,"")</f>
        <v>1.006370542886259E-2</v>
      </c>
      <c r="M120" s="212">
        <f>IFERROR(Inv_SY!M121/Inv_SY!$P121-1,"")</f>
        <v>-4.1267422566737544E-4</v>
      </c>
      <c r="N120" s="212">
        <f>IFERROR(Inv_SY!N121/Inv_SY!$P121-1,"")</f>
        <v>-4.2121173917633925E-2</v>
      </c>
      <c r="O120" s="212">
        <f>IFERROR(Inv_SY!O121/Inv_SY!$P121-1,"")</f>
        <v>9.9385614577864878E-3</v>
      </c>
      <c r="P120" s="212">
        <f>IFERROR(Inv_SY!P121/Inv_SY!$P121-1,"")</f>
        <v>0</v>
      </c>
      <c r="Q120" s="212">
        <f>IFERROR(Inv_SY!Q121/Inv_SY!$P121-1,"")</f>
        <v>1.1890656785799258E-2</v>
      </c>
      <c r="R120" s="212">
        <f>IFERROR(Inv_SY!L121/Inv_SY!$Q121-1,"")</f>
        <v>-1.8054829785068005E-3</v>
      </c>
      <c r="S120" s="212">
        <f>IFERROR(Inv_SY!M121/Inv_SY!$Q121-1,"")</f>
        <v>-1.2158755423779977E-2</v>
      </c>
      <c r="T120" s="212">
        <f>IFERROR(Inv_SY!N121/Inv_SY!$Q121-1,"")</f>
        <v>-5.3377141434429287E-2</v>
      </c>
      <c r="U120" s="213">
        <f>IFERROR(Inv_SY!O121/Inv_SY!$Q121-1,"")</f>
        <v>-1.9291563914756171E-3</v>
      </c>
    </row>
    <row r="121" spans="1:21">
      <c r="A121" s="216">
        <f t="shared" ref="A121" si="263">YEAR(H121)+IF(MONTH(H121)&gt;=4,1,0)</f>
        <v>2026</v>
      </c>
      <c r="B121" s="217">
        <f t="shared" ref="B121" si="264">YEAR(H121)</f>
        <v>2025</v>
      </c>
      <c r="C121" s="209" t="str">
        <f>TEXT(Table5[[#This Row],[Date]],"yyyy")</f>
        <v>2025</v>
      </c>
      <c r="D121" s="209" t="s">
        <v>224</v>
      </c>
      <c r="E121" s="209" t="s">
        <v>224</v>
      </c>
      <c r="F121" s="210" t="str">
        <f>TEXT(Table5[[#This Row],[Date]],"mmm-yy")</f>
        <v>Jul-25</v>
      </c>
      <c r="G121" s="209">
        <f t="shared" ref="G121" si="265">DAY(EOMONTH(F121,0))</f>
        <v>31</v>
      </c>
      <c r="H121" s="211">
        <f t="shared" si="243"/>
        <v>45864</v>
      </c>
      <c r="I121" s="209">
        <v>11.72</v>
      </c>
      <c r="J121" s="212">
        <f>IFERROR(Inv_SY!J122/Inv_SY!$P122-1,"")</f>
        <v>1.07213774021091E-2</v>
      </c>
      <c r="K121" s="212">
        <f>IFERROR(Inv_SY!K122/Inv_SY!$P122-1,"")</f>
        <v>7.4022676405585131E-3</v>
      </c>
      <c r="L121" s="212">
        <f>IFERROR(Inv_SY!L122/Inv_SY!$P122-1,"")</f>
        <v>6.3314875403261972E-3</v>
      </c>
      <c r="M121" s="212">
        <f>IFERROR(Inv_SY!M122/Inv_SY!$P122-1,"")</f>
        <v>6.8066893211851109E-3</v>
      </c>
      <c r="N121" s="212">
        <f>IFERROR(Inv_SY!N122/Inv_SY!$P122-1,"")</f>
        <v>-4.2313442319018013E-2</v>
      </c>
      <c r="O121" s="212">
        <f>IFERROR(Inv_SY!O122/Inv_SY!$P122-1,"")</f>
        <v>1.1051620414838537E-2</v>
      </c>
      <c r="P121" s="212">
        <f>IFERROR(Inv_SY!P122/Inv_SY!$P122-1,"")</f>
        <v>0</v>
      </c>
      <c r="Q121" s="212">
        <f>IFERROR(Inv_SY!Q122/Inv_SY!$P122-1,"")</f>
        <v>1.1051620414838537E-2</v>
      </c>
      <c r="R121" s="212">
        <f>IFERROR(Inv_SY!L122/Inv_SY!$Q122-1,"")</f>
        <v>-4.6685379650307501E-3</v>
      </c>
      <c r="S121" s="212">
        <f>IFERROR(Inv_SY!M122/Inv_SY!$Q122-1,"")</f>
        <v>-4.1985305279582663E-3</v>
      </c>
      <c r="T121" s="212">
        <f>IFERROR(Inv_SY!N122/Inv_SY!$Q122-1,"")</f>
        <v>-5.2781738989707283E-2</v>
      </c>
      <c r="U121" s="213">
        <f>IFERROR(Inv_SY!O122/Inv_SY!$Q122-1,"")</f>
        <v>0</v>
      </c>
    </row>
    <row r="122" spans="1:21">
      <c r="A122" s="216">
        <f t="shared" ref="A122" si="266">YEAR(H122)+IF(MONTH(H122)&gt;=4,1,0)</f>
        <v>2026</v>
      </c>
      <c r="B122" s="217">
        <f t="shared" ref="B122" si="267">YEAR(H122)</f>
        <v>2025</v>
      </c>
      <c r="C122" s="209" t="str">
        <f>TEXT(Table5[[#This Row],[Date]],"yyyy")</f>
        <v>2025</v>
      </c>
      <c r="D122" s="209" t="s">
        <v>224</v>
      </c>
      <c r="E122" s="209" t="s">
        <v>224</v>
      </c>
      <c r="F122" s="210" t="str">
        <f>TEXT(Table5[[#This Row],[Date]],"mmm-yy")</f>
        <v>Jul-25</v>
      </c>
      <c r="G122" s="209">
        <f t="shared" ref="G122" si="268">DAY(EOMONTH(F122,0))</f>
        <v>31</v>
      </c>
      <c r="H122" s="211">
        <f t="shared" si="243"/>
        <v>45865</v>
      </c>
      <c r="I122" s="209">
        <v>11.72</v>
      </c>
      <c r="J122" s="212">
        <f>IFERROR(Inv_SY!J123/Inv_SY!$P123-1,"")</f>
        <v>2.4464767311300761E-3</v>
      </c>
      <c r="K122" s="212">
        <f>IFERROR(Inv_SY!K123/Inv_SY!$P123-1,"")</f>
        <v>-4.6644652651349761E-3</v>
      </c>
      <c r="L122" s="212">
        <f>IFERROR(Inv_SY!L123/Inv_SY!$P123-1,"")</f>
        <v>-1.7344993470540304E-2</v>
      </c>
      <c r="M122" s="212">
        <f>IFERROR(Inv_SY!M123/Inv_SY!$P123-1,"")</f>
        <v>1.2654772866573571E-2</v>
      </c>
      <c r="N122" s="212">
        <f>IFERROR(Inv_SY!N123/Inv_SY!$P123-1,"")</f>
        <v>-1.1872967821644043E-2</v>
      </c>
      <c r="O122" s="212">
        <f>IFERROR(Inv_SY!O123/Inv_SY!$P123-1,"")</f>
        <v>1.8781176959614676E-2</v>
      </c>
      <c r="P122" s="212">
        <f>IFERROR(Inv_SY!P123/Inv_SY!$P123-1,"")</f>
        <v>0</v>
      </c>
      <c r="Q122" s="212">
        <f>IFERROR(Inv_SY!Q123/Inv_SY!$P123-1,"")</f>
        <v>1.8781176959614676E-2</v>
      </c>
      <c r="R122" s="212">
        <f>IFERROR(Inv_SY!L123/Inv_SY!$Q123-1,"")</f>
        <v>-3.5460186394459692E-2</v>
      </c>
      <c r="S122" s="212">
        <f>IFERROR(Inv_SY!M123/Inv_SY!$Q123-1,"")</f>
        <v>-6.0134641585392057E-3</v>
      </c>
      <c r="T122" s="212">
        <f>IFERROR(Inv_SY!N123/Inv_SY!$Q123-1,"")</f>
        <v>-3.0089037248156703E-2</v>
      </c>
      <c r="U122" s="213">
        <f>IFERROR(Inv_SY!O123/Inv_SY!$Q123-1,"")</f>
        <v>0</v>
      </c>
    </row>
    <row r="123" spans="1:21">
      <c r="A123" s="216">
        <f t="shared" ref="A123" si="269">YEAR(H123)+IF(MONTH(H123)&gt;=4,1,0)</f>
        <v>2026</v>
      </c>
      <c r="B123" s="217">
        <f t="shared" ref="B123" si="270">YEAR(H123)</f>
        <v>2025</v>
      </c>
      <c r="C123" s="209" t="str">
        <f>TEXT(Table5[[#This Row],[Date]],"yyyy")</f>
        <v>2025</v>
      </c>
      <c r="D123" s="209" t="s">
        <v>224</v>
      </c>
      <c r="E123" s="209" t="s">
        <v>224</v>
      </c>
      <c r="F123" s="210" t="str">
        <f>TEXT(Table5[[#This Row],[Date]],"mmm-yy")</f>
        <v>Jul-25</v>
      </c>
      <c r="G123" s="209">
        <f t="shared" ref="G123" si="271">DAY(EOMONTH(F123,0))</f>
        <v>31</v>
      </c>
      <c r="H123" s="211">
        <f t="shared" si="243"/>
        <v>45866</v>
      </c>
      <c r="I123" s="209">
        <v>11.72</v>
      </c>
      <c r="J123" s="212">
        <f>IFERROR(Inv_SY!J124/Inv_SY!$P124-1,"")</f>
        <v>-1.5284400612009419E-2</v>
      </c>
      <c r="K123" s="212">
        <f>IFERROR(Inv_SY!K124/Inv_SY!$P124-1,"")</f>
        <v>-8.0378077575151696E-3</v>
      </c>
      <c r="L123" s="212">
        <f>IFERROR(Inv_SY!L124/Inv_SY!$P124-1,"")</f>
        <v>-2.4850122301063204E-2</v>
      </c>
      <c r="M123" s="212">
        <f>IFERROR(Inv_SY!M124/Inv_SY!$P124-1,"")</f>
        <v>2.6394890785432779E-2</v>
      </c>
      <c r="N123" s="212">
        <f>IFERROR(Inv_SY!N124/Inv_SY!$P124-1,"")</f>
        <v>7.2119727825104007E-4</v>
      </c>
      <c r="O123" s="212">
        <f>IFERROR(Inv_SY!O124/Inv_SY!$P124-1,"")</f>
        <v>2.1056242606904307E-2</v>
      </c>
      <c r="P123" s="212">
        <f>IFERROR(Inv_SY!P124/Inv_SY!$P124-1,"")</f>
        <v>0</v>
      </c>
      <c r="Q123" s="212">
        <f>IFERROR(Inv_SY!Q124/Inv_SY!$P124-1,"")</f>
        <v>2.6394890785432779E-2</v>
      </c>
      <c r="R123" s="212">
        <f>IFERROR(Inv_SY!L124/Inv_SY!$Q124-1,"")</f>
        <v>-4.9927190349984607E-2</v>
      </c>
      <c r="S123" s="212">
        <f>IFERROR(Inv_SY!M124/Inv_SY!$Q124-1,"")</f>
        <v>0</v>
      </c>
      <c r="T123" s="212">
        <f>IFERROR(Inv_SY!N124/Inv_SY!$Q124-1,"")</f>
        <v>-2.5013465808988222E-2</v>
      </c>
      <c r="U123" s="213">
        <f>IFERROR(Inv_SY!O124/Inv_SY!$Q124-1,"")</f>
        <v>-5.2013588789817655E-3</v>
      </c>
    </row>
    <row r="124" spans="1:21">
      <c r="A124" s="216">
        <f t="shared" ref="A124" si="272">YEAR(H124)+IF(MONTH(H124)&gt;=4,1,0)</f>
        <v>2026</v>
      </c>
      <c r="B124" s="217">
        <f t="shared" ref="B124" si="273">YEAR(H124)</f>
        <v>2025</v>
      </c>
      <c r="C124" s="209" t="str">
        <f>TEXT(Table5[[#This Row],[Date]],"yyyy")</f>
        <v>2025</v>
      </c>
      <c r="D124" s="209" t="s">
        <v>224</v>
      </c>
      <c r="E124" s="209" t="s">
        <v>224</v>
      </c>
      <c r="F124" s="210" t="str">
        <f>TEXT(Table5[[#This Row],[Date]],"mmm-yy")</f>
        <v>Jul-25</v>
      </c>
      <c r="G124" s="209">
        <f t="shared" ref="G124" si="274">DAY(EOMONTH(F124,0))</f>
        <v>31</v>
      </c>
      <c r="H124" s="211">
        <f t="shared" si="243"/>
        <v>45867</v>
      </c>
      <c r="I124" s="209">
        <v>11.72</v>
      </c>
      <c r="J124" s="212">
        <f>IFERROR(Inv_SY!J125/Inv_SY!$P125-1,"")</f>
        <v>1.3330597851777259E-3</v>
      </c>
      <c r="K124" s="212">
        <f>IFERROR(Inv_SY!K125/Inv_SY!$P125-1,"")</f>
        <v>3.490088672741809E-3</v>
      </c>
      <c r="L124" s="212">
        <f>IFERROR(Inv_SY!L125/Inv_SY!$P125-1,"")</f>
        <v>-1.117923037887425E-2</v>
      </c>
      <c r="M124" s="212">
        <f>IFERROR(Inv_SY!M125/Inv_SY!$P125-1,"")</f>
        <v>1.5117278460826888E-2</v>
      </c>
      <c r="N124" s="212">
        <f>IFERROR(Inv_SY!N125/Inv_SY!$P125-1,"")</f>
        <v>-2.3864571074929786E-2</v>
      </c>
      <c r="O124" s="212">
        <f>IFERROR(Inv_SY!O125/Inv_SY!$P125-1,"")</f>
        <v>1.5103374535057723E-2</v>
      </c>
      <c r="P124" s="212">
        <f>IFERROR(Inv_SY!P125/Inv_SY!$P125-1,"")</f>
        <v>0</v>
      </c>
      <c r="Q124" s="212">
        <f>IFERROR(Inv_SY!Q125/Inv_SY!$P125-1,"")</f>
        <v>1.5117278460826888E-2</v>
      </c>
      <c r="R124" s="212">
        <f>IFERROR(Inv_SY!L125/Inv_SY!$Q125-1,"")</f>
        <v>-2.5904897293811402E-2</v>
      </c>
      <c r="S124" s="212">
        <f>IFERROR(Inv_SY!M125/Inv_SY!$Q125-1,"")</f>
        <v>0</v>
      </c>
      <c r="T124" s="212">
        <f>IFERROR(Inv_SY!N125/Inv_SY!$Q125-1,"")</f>
        <v>-3.8401325997389102E-2</v>
      </c>
      <c r="U124" s="213">
        <f>IFERROR(Inv_SY!O125/Inv_SY!$Q125-1,"")</f>
        <v>-1.3696866425272347E-5</v>
      </c>
    </row>
    <row r="125" spans="1:21">
      <c r="A125" s="216">
        <f t="shared" ref="A125" si="275">YEAR(H125)+IF(MONTH(H125)&gt;=4,1,0)</f>
        <v>2026</v>
      </c>
      <c r="B125" s="217">
        <f t="shared" ref="B125" si="276">YEAR(H125)</f>
        <v>2025</v>
      </c>
      <c r="C125" s="209" t="str">
        <f>TEXT(Table5[[#This Row],[Date]],"yyyy")</f>
        <v>2025</v>
      </c>
      <c r="D125" s="209" t="s">
        <v>224</v>
      </c>
      <c r="E125" s="209" t="s">
        <v>224</v>
      </c>
      <c r="F125" s="210" t="str">
        <f>TEXT(Table5[[#This Row],[Date]],"mmm-yy")</f>
        <v>Jul-25</v>
      </c>
      <c r="G125" s="209">
        <f t="shared" ref="G125" si="277">DAY(EOMONTH(F125,0))</f>
        <v>31</v>
      </c>
      <c r="H125" s="211">
        <f t="shared" si="243"/>
        <v>45868</v>
      </c>
      <c r="I125" s="209">
        <v>11.72</v>
      </c>
      <c r="J125" s="212">
        <f>IFERROR(Inv_SY!J126/Inv_SY!$P126-1,"")</f>
        <v>6.2214668797662132E-3</v>
      </c>
      <c r="K125" s="212">
        <f>IFERROR(Inv_SY!K126/Inv_SY!$P126-1,"")</f>
        <v>-7.2386728600950523E-3</v>
      </c>
      <c r="L125" s="212">
        <f>IFERROR(Inv_SY!L126/Inv_SY!$P126-1,"")</f>
        <v>-3.0057566987816031E-2</v>
      </c>
      <c r="M125" s="212">
        <f>IFERROR(Inv_SY!M126/Inv_SY!$P126-1,"")</f>
        <v>1.6021349568694498E-2</v>
      </c>
      <c r="N125" s="212">
        <f>IFERROR(Inv_SY!N126/Inv_SY!$P126-1,"")</f>
        <v>-3.1375908084285697E-3</v>
      </c>
      <c r="O125" s="212">
        <f>IFERROR(Inv_SY!O126/Inv_SY!$P126-1,"")</f>
        <v>1.8191014207878498E-2</v>
      </c>
      <c r="P125" s="212">
        <f>IFERROR(Inv_SY!P126/Inv_SY!$P126-1,"")</f>
        <v>0</v>
      </c>
      <c r="Q125" s="212">
        <f>IFERROR(Inv_SY!Q126/Inv_SY!$P126-1,"")</f>
        <v>1.8191014207878498E-2</v>
      </c>
      <c r="R125" s="212">
        <f>IFERROR(Inv_SY!L126/Inv_SY!$Q126-1,"")</f>
        <v>-4.7386571402057154E-2</v>
      </c>
      <c r="S125" s="212">
        <f>IFERROR(Inv_SY!M126/Inv_SY!$Q126-1,"")</f>
        <v>-2.1309013818708866E-3</v>
      </c>
      <c r="T125" s="212">
        <f>IFERROR(Inv_SY!N126/Inv_SY!$Q126-1,"")</f>
        <v>-2.0947547875287631E-2</v>
      </c>
      <c r="U125" s="213">
        <f>IFERROR(Inv_SY!O126/Inv_SY!$Q126-1,"")</f>
        <v>0</v>
      </c>
    </row>
    <row r="126" spans="1:21">
      <c r="A126" s="233">
        <f t="shared" ref="A126" si="278">YEAR(H126)+IF(MONTH(H126)&gt;=4,1,0)</f>
        <v>2026</v>
      </c>
      <c r="B126" s="234">
        <f t="shared" ref="B126" si="279">YEAR(H126)</f>
        <v>2025</v>
      </c>
      <c r="C126" s="235" t="str">
        <f>TEXT(Table5[[#This Row],[Date]],"yyyy")</f>
        <v>2025</v>
      </c>
      <c r="D126" s="235" t="s">
        <v>224</v>
      </c>
      <c r="E126" s="235" t="s">
        <v>224</v>
      </c>
      <c r="F126" s="236" t="str">
        <f>TEXT(Table5[[#This Row],[Date]],"mmm-yy")</f>
        <v>Jul-25</v>
      </c>
      <c r="G126" s="235">
        <f t="shared" ref="G126" si="280">DAY(EOMONTH(F126,0))</f>
        <v>31</v>
      </c>
      <c r="H126" s="237">
        <f t="shared" si="243"/>
        <v>45869</v>
      </c>
      <c r="I126" s="235">
        <v>11.72</v>
      </c>
      <c r="J126" s="212">
        <f>IFERROR(Inv_SY!J127/Inv_SY!$P127-1,"")</f>
        <v>-3.5446053158744606E-2</v>
      </c>
      <c r="K126" s="212">
        <f>IFERROR(Inv_SY!K127/Inv_SY!$P127-1,"")</f>
        <v>-3.238588381980434E-3</v>
      </c>
      <c r="L126" s="212">
        <f>IFERROR(Inv_SY!L127/Inv_SY!$P127-1,"")</f>
        <v>-7.6177355772574229E-3</v>
      </c>
      <c r="M126" s="212">
        <f>IFERROR(Inv_SY!M127/Inv_SY!$P127-1,"")</f>
        <v>2.4949583575935685E-2</v>
      </c>
      <c r="N126" s="212">
        <f>IFERROR(Inv_SY!N127/Inv_SY!$P127-1,"")</f>
        <v>-4.3799388235477021E-4</v>
      </c>
      <c r="O126" s="212">
        <f>IFERROR(Inv_SY!O127/Inv_SY!$P127-1,"")</f>
        <v>2.1790787424401215E-2</v>
      </c>
      <c r="P126" s="212">
        <f>IFERROR(Inv_SY!P127/Inv_SY!$P127-1,"")</f>
        <v>0</v>
      </c>
      <c r="Q126" s="212">
        <f>IFERROR(Inv_SY!Q127/Inv_SY!$P127-1,"")</f>
        <v>2.4949583575935685E-2</v>
      </c>
      <c r="R126" s="212">
        <f>IFERROR(Inv_SY!L127/Inv_SY!$Q127-1,"")</f>
        <v>-3.1774557183163354E-2</v>
      </c>
      <c r="S126" s="212">
        <f>IFERROR(Inv_SY!M127/Inv_SY!$Q127-1,"")</f>
        <v>0</v>
      </c>
      <c r="T126" s="212">
        <f>IFERROR(Inv_SY!N127/Inv_SY!$Q127-1,"")</f>
        <v>-2.4769586587582104E-2</v>
      </c>
      <c r="U126" s="213">
        <f>IFERROR(Inv_SY!O127/Inv_SY!$Q127-1,"")</f>
        <v>-3.0819039318147334E-3</v>
      </c>
    </row>
  </sheetData>
  <phoneticPr fontId="34" type="noConversion"/>
  <conditionalFormatting sqref="J2:Q12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2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U22" activePane="bottomRight" state="frozen"/>
      <selection pane="topRight" activeCell="I1" sqref="I1"/>
      <selection pane="bottomLeft" activeCell="A4" sqref="A4"/>
      <selection pane="bottomRight" activeCell="AE32" sqref="AE32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529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530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529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529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2026</v>
      </c>
      <c r="C27" s="129">
        <f t="shared" si="2"/>
        <v>2025</v>
      </c>
      <c r="D27" s="17" t="s">
        <v>155</v>
      </c>
      <c r="E27" s="17" t="s">
        <v>155</v>
      </c>
      <c r="F27" s="25">
        <v>45809</v>
      </c>
      <c r="G27">
        <f>DAY(EOMONTH(PA[[#This Row],[Month Year]],0))</f>
        <v>30</v>
      </c>
      <c r="H27" s="26">
        <v>45860</v>
      </c>
      <c r="I27" s="29">
        <f>IFERROR(VLOOKUP(PA[[#This Row],[Date]],Raw_Data[[Date]:[Sunset Time (POA&lt;20 W/m2)]],3,0),"")</f>
        <v>0.25694444444444442</v>
      </c>
      <c r="J27" s="29">
        <f>IFERROR(VLOOKUP(PA[[#This Row],[Date]],Raw_Data[[Date]:[Sunset Time (POA&lt;20 W/m2)]],4,0),"")</f>
        <v>0.78472222222222221</v>
      </c>
      <c r="K27" s="27">
        <f>IFERROR((PA[[#This Row],[Sunset Time (POA&lt;20 W/m2)]]-PA[[#This Row],[Sunrise Time (POA&gt;20 W/m2)]])*24,"")</f>
        <v>12.666666666666668</v>
      </c>
      <c r="L27" s="3" t="s">
        <v>132</v>
      </c>
      <c r="M27" s="46">
        <f>IFERROR(VLOOKUP(PA[[#This Row],[Affceted Equipment]],'Basic Data'!$A$2:$B$114,2,0),"")</f>
        <v>1987.7249999999999</v>
      </c>
      <c r="N27" s="48">
        <f>IFERROR(VLOOKUP(PA[[#This Row],[Affceted Equipment]],'Basic Data'!$A$1:$C$118,3,0),"")</f>
        <v>0.169739565720844</v>
      </c>
      <c r="O27" s="3" t="s">
        <v>132</v>
      </c>
      <c r="P27" t="s">
        <v>248</v>
      </c>
      <c r="Q27" t="s">
        <v>497</v>
      </c>
      <c r="S27" s="24">
        <v>0.46666666666666667</v>
      </c>
      <c r="T27" s="24">
        <v>0.46666666666666667</v>
      </c>
      <c r="U27" s="24">
        <v>0.46736111111111112</v>
      </c>
      <c r="V27" s="24">
        <v>0.47083333333333333</v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1.6666666666666607E-2</v>
      </c>
      <c r="Y27" s="35">
        <f>(PA[[#This Row],[Work Completiuon time on fualt]]-PA[[#This Row],[Fault Time]])*24</f>
        <v>9.9999999999999645E-2</v>
      </c>
      <c r="Z27" s="35">
        <f>IFERROR((PA[[#This Row],[Work Completiuon time on fualt]]-PA[[#This Row],[Fault Time]])*24,"")</f>
        <v>9.9999999999999645E-2</v>
      </c>
      <c r="AA27" s="2" t="s">
        <v>529</v>
      </c>
      <c r="AB27" s="2" t="s">
        <v>502</v>
      </c>
      <c r="AC27" s="47">
        <f>IFERROR(PA[[#This Row],[Breakdown Time]]*PA[[#This Row],[Plant Equivalent Weightage]],"")</f>
        <v>1.697395657208434E-2</v>
      </c>
      <c r="AD27" s="2">
        <v>70</v>
      </c>
      <c r="AE27" s="33">
        <f>IFERROR((_xlfn.XLOOKUP(PA[[#This Row],[Month Year]],'Modelling New'!D:D,'Modelling New'!$O:$O)*PA[[#This Row],[Lost PoA(Wh/m2)]]*PA[[#This Row],[DC Capacity Affceted (kW)]])/1000,"")</f>
        <v>100.20829852576514</v>
      </c>
      <c r="AF27" s="35"/>
    </row>
    <row r="28" spans="1:32">
      <c r="A28" s="2">
        <f t="shared" si="7"/>
        <v>25</v>
      </c>
      <c r="B28" s="156">
        <f t="shared" si="1"/>
        <v>2026</v>
      </c>
      <c r="C28" s="129">
        <f t="shared" si="2"/>
        <v>2025</v>
      </c>
      <c r="D28" s="17" t="s">
        <v>155</v>
      </c>
      <c r="E28" s="17" t="s">
        <v>155</v>
      </c>
      <c r="F28" s="25">
        <v>45809</v>
      </c>
      <c r="G28">
        <f>DAY(EOMONTH(PA[[#This Row],[Month Year]],0))</f>
        <v>30</v>
      </c>
      <c r="H28" s="26">
        <v>45860</v>
      </c>
      <c r="I28" s="29">
        <f>IFERROR(VLOOKUP(PA[[#This Row],[Date]],Raw_Data[[Date]:[Sunset Time (POA&lt;20 W/m2)]],3,0),"")</f>
        <v>0.25694444444444442</v>
      </c>
      <c r="J28" s="29">
        <f>IFERROR(VLOOKUP(PA[[#This Row],[Date]],Raw_Data[[Date]:[Sunset Time (POA&lt;20 W/m2)]],4,0),"")</f>
        <v>0.78472222222222221</v>
      </c>
      <c r="K28" s="27">
        <f>IFERROR((PA[[#This Row],[Sunset Time (POA&lt;20 W/m2)]]-PA[[#This Row],[Sunrise Time (POA&gt;20 W/m2)]])*24,"")</f>
        <v>12.666666666666668</v>
      </c>
      <c r="L28" s="3" t="s">
        <v>132</v>
      </c>
      <c r="M28" s="46">
        <f>IFERROR(VLOOKUP(PA[[#This Row],[Affceted Equipment]],'Basic Data'!$A$2:$B$114,2,0),"")</f>
        <v>1987.7249999999999</v>
      </c>
      <c r="N28" s="48">
        <f>IFERROR(VLOOKUP(PA[[#This Row],[Affceted Equipment]],'Basic Data'!$A$1:$C$118,3,0),"")</f>
        <v>0.169739565720844</v>
      </c>
      <c r="O28" s="3" t="s">
        <v>132</v>
      </c>
      <c r="P28" t="s">
        <v>248</v>
      </c>
      <c r="Q28" t="s">
        <v>497</v>
      </c>
      <c r="S28" s="24">
        <v>0.47986111111111113</v>
      </c>
      <c r="T28" s="24">
        <v>0.48055555555555557</v>
      </c>
      <c r="U28" s="24">
        <v>0.48125000000000001</v>
      </c>
      <c r="V28" s="24">
        <v>0.48333333333333334</v>
      </c>
      <c r="W28" s="33">
        <f>IF(PA[[#This Row],[Acknowledgemnet Time ]]="NA","",(PA[[#This Row],[Acknowledgemnet Time ]]-PA[[#This Row],[Fault Time]])*24)</f>
        <v>1.6666666666666607E-2</v>
      </c>
      <c r="X28" s="33">
        <f>IF(PA[[#This Row],[Work Start time on Fault]]="NA","",(PA[[#This Row],[Work Start time on Fault]]-PA[[#This Row],[Fault Time]])*24)</f>
        <v>3.3333333333333215E-2</v>
      </c>
      <c r="Y28" s="35">
        <f>(PA[[#This Row],[Work Completiuon time on fualt]]-PA[[#This Row],[Fault Time]])*24</f>
        <v>8.3333333333333037E-2</v>
      </c>
      <c r="Z28" s="35">
        <f>IFERROR((PA[[#This Row],[Work Completiuon time on fualt]]-PA[[#This Row],[Fault Time]])*24,"")</f>
        <v>8.3333333333333037E-2</v>
      </c>
      <c r="AA28" s="2" t="s">
        <v>529</v>
      </c>
      <c r="AB28" s="2" t="s">
        <v>502</v>
      </c>
      <c r="AC28" s="47">
        <f>IFERROR(PA[[#This Row],[Breakdown Time]]*PA[[#This Row],[Plant Equivalent Weightage]],"")</f>
        <v>1.4144963810070283E-2</v>
      </c>
      <c r="AD28" s="2">
        <v>95</v>
      </c>
      <c r="AE28" s="33">
        <f>IFERROR((_xlfn.XLOOKUP(PA[[#This Row],[Month Year]],'Modelling New'!D:D,'Modelling New'!$O:$O)*PA[[#This Row],[Lost PoA(Wh/m2)]]*PA[[#This Row],[DC Capacity Affceted (kW)]])/1000,"")</f>
        <v>135.99697657068126</v>
      </c>
      <c r="AF28" s="35"/>
    </row>
    <row r="29" spans="1:32">
      <c r="A29" s="2">
        <f t="shared" si="7"/>
        <v>26</v>
      </c>
      <c r="B29" s="156">
        <f t="shared" si="1"/>
        <v>2026</v>
      </c>
      <c r="C29" s="129">
        <f t="shared" si="2"/>
        <v>2025</v>
      </c>
      <c r="D29" s="17" t="s">
        <v>155</v>
      </c>
      <c r="E29" s="17" t="s">
        <v>155</v>
      </c>
      <c r="F29" s="25">
        <v>45839</v>
      </c>
      <c r="G29">
        <f>DAY(EOMONTH(PA[[#This Row],[Month Year]],0))</f>
        <v>31</v>
      </c>
      <c r="H29" s="26">
        <v>45860</v>
      </c>
      <c r="I29" s="29">
        <f>IFERROR(VLOOKUP(PA[[#This Row],[Date]],Raw_Data[[Date]:[Sunset Time (POA&lt;20 W/m2)]],3,0),"")</f>
        <v>0.25694444444444442</v>
      </c>
      <c r="J29" s="29">
        <f>IFERROR(VLOOKUP(PA[[#This Row],[Date]],Raw_Data[[Date]:[Sunset Time (POA&lt;20 W/m2)]],4,0),"")</f>
        <v>0.78472222222222221</v>
      </c>
      <c r="K29" s="27">
        <f>IFERROR((PA[[#This Row],[Sunset Time (POA&lt;20 W/m2)]]-PA[[#This Row],[Sunrise Time (POA&gt;20 W/m2)]])*24,"")</f>
        <v>12.666666666666668</v>
      </c>
      <c r="L29" s="3" t="s">
        <v>132</v>
      </c>
      <c r="M29" s="46">
        <f>IFERROR(VLOOKUP(PA[[#This Row],[Affceted Equipment]],'Basic Data'!$A$2:$B$114,2,0),"")</f>
        <v>1987.7249999999999</v>
      </c>
      <c r="N29" s="48">
        <f>IFERROR(VLOOKUP(PA[[#This Row],[Affceted Equipment]],'Basic Data'!$A$1:$C$118,3,0),"")</f>
        <v>0.169739565720844</v>
      </c>
      <c r="O29" s="3" t="s">
        <v>132</v>
      </c>
      <c r="P29" t="s">
        <v>248</v>
      </c>
      <c r="Q29" t="s">
        <v>497</v>
      </c>
      <c r="S29" s="24">
        <v>0.54097222222222219</v>
      </c>
      <c r="T29" s="24">
        <v>0.54166666666666663</v>
      </c>
      <c r="U29" s="24">
        <v>0.54513888888888884</v>
      </c>
      <c r="V29" s="24">
        <v>0.54513888888888884</v>
      </c>
      <c r="W29" s="33">
        <f>IF(PA[[#This Row],[Acknowledgemnet Time ]]="NA","",(PA[[#This Row],[Acknowledgemnet Time ]]-PA[[#This Row],[Fault Time]])*24)</f>
        <v>1.6666666666666607E-2</v>
      </c>
      <c r="X29" s="33">
        <f>IF(PA[[#This Row],[Work Start time on Fault]]="NA","",(PA[[#This Row],[Work Start time on Fault]]-PA[[#This Row],[Fault Time]])*24)</f>
        <v>9.9999999999999645E-2</v>
      </c>
      <c r="Y29" s="35">
        <f>(PA[[#This Row],[Work Completiuon time on fualt]]-PA[[#This Row],[Fault Time]])*24</f>
        <v>9.9999999999999645E-2</v>
      </c>
      <c r="Z29" s="35">
        <f>IFERROR((PA[[#This Row],[Work Completiuon time on fualt]]-PA[[#This Row],[Fault Time]])*24,"")</f>
        <v>9.9999999999999645E-2</v>
      </c>
      <c r="AA29" s="2" t="s">
        <v>529</v>
      </c>
      <c r="AB29" s="2" t="s">
        <v>502</v>
      </c>
      <c r="AC29" s="47">
        <f>IFERROR(PA[[#This Row],[Breakdown Time]]*PA[[#This Row],[Plant Equivalent Weightage]],"")</f>
        <v>1.697395657208434E-2</v>
      </c>
      <c r="AD29" s="2">
        <v>116</v>
      </c>
      <c r="AE29" s="33">
        <f>IFERROR((_xlfn.XLOOKUP(PA[[#This Row],[Month Year]],'Modelling New'!D:D,'Modelling New'!$O:$O)*PA[[#This Row],[Lost PoA(Wh/m2)]]*PA[[#This Row],[DC Capacity Affceted (kW)]])/1000,"")</f>
        <v>173.06775979870378</v>
      </c>
      <c r="AF29" s="35"/>
    </row>
    <row r="30" spans="1:32">
      <c r="A30" s="2">
        <f t="shared" si="7"/>
        <v>27</v>
      </c>
      <c r="B30" s="156">
        <f t="shared" si="1"/>
        <v>2026</v>
      </c>
      <c r="C30" s="129">
        <f t="shared" si="2"/>
        <v>2025</v>
      </c>
      <c r="D30" s="17" t="s">
        <v>155</v>
      </c>
      <c r="E30" s="17" t="s">
        <v>155</v>
      </c>
      <c r="F30" s="25">
        <v>45839</v>
      </c>
      <c r="G30">
        <f>DAY(EOMONTH(PA[[#This Row],[Month Year]],0))</f>
        <v>31</v>
      </c>
      <c r="H30" s="26">
        <v>45860</v>
      </c>
      <c r="I30" s="29">
        <f>IFERROR(VLOOKUP(PA[[#This Row],[Date]],Raw_Data[[Date]:[Sunset Time (POA&lt;20 W/m2)]],3,0),"")</f>
        <v>0.25694444444444442</v>
      </c>
      <c r="J30" s="29">
        <f>IFERROR(VLOOKUP(PA[[#This Row],[Date]],Raw_Data[[Date]:[Sunset Time (POA&lt;20 W/m2)]],4,0),"")</f>
        <v>0.78472222222222221</v>
      </c>
      <c r="K30" s="27">
        <f>IFERROR((PA[[#This Row],[Sunset Time (POA&lt;20 W/m2)]]-PA[[#This Row],[Sunrise Time (POA&gt;20 W/m2)]])*24,"")</f>
        <v>12.666666666666668</v>
      </c>
      <c r="L30" s="3" t="s">
        <v>134</v>
      </c>
      <c r="M30" s="46">
        <f>IFERROR(VLOOKUP(PA[[#This Row],[Affceted Equipment]],'Basic Data'!$A$2:$B$114,2,0),"")</f>
        <v>1806.68</v>
      </c>
      <c r="N30" s="48">
        <f>IFERROR(VLOOKUP(PA[[#This Row],[Affceted Equipment]],'Basic Data'!$A$1:$C$118,3,0),"")</f>
        <v>0.15427942929556901</v>
      </c>
      <c r="O30" s="3" t="s">
        <v>134</v>
      </c>
      <c r="P30" t="s">
        <v>248</v>
      </c>
      <c r="Q30" t="s">
        <v>497</v>
      </c>
      <c r="S30" s="24">
        <v>0.54097222222222219</v>
      </c>
      <c r="T30" s="24">
        <v>0.54166666666666663</v>
      </c>
      <c r="U30" s="24">
        <v>0.54513888888888884</v>
      </c>
      <c r="V30" s="24">
        <v>0.54513888888888884</v>
      </c>
      <c r="W30" s="33">
        <f>IF(PA[[#This Row],[Acknowledgemnet Time ]]="NA","",(PA[[#This Row],[Acknowledgemnet Time ]]-PA[[#This Row],[Fault Time]])*24)</f>
        <v>1.6666666666666607E-2</v>
      </c>
      <c r="X30" s="33">
        <f>IF(PA[[#This Row],[Work Start time on Fault]]="NA","",(PA[[#This Row],[Work Start time on Fault]]-PA[[#This Row],[Fault Time]])*24)</f>
        <v>9.9999999999999645E-2</v>
      </c>
      <c r="Y30" s="35">
        <f>(PA[[#This Row],[Work Completiuon time on fualt]]-PA[[#This Row],[Fault Time]])*24</f>
        <v>9.9999999999999645E-2</v>
      </c>
      <c r="Z30" s="35">
        <f>IFERROR((PA[[#This Row],[Work Completiuon time on fualt]]-PA[[#This Row],[Fault Time]])*24,"")</f>
        <v>9.9999999999999645E-2</v>
      </c>
      <c r="AA30" s="2" t="s">
        <v>529</v>
      </c>
      <c r="AB30" s="2" t="s">
        <v>502</v>
      </c>
      <c r="AC30" s="47">
        <f>IFERROR(PA[[#This Row],[Breakdown Time]]*PA[[#This Row],[Plant Equivalent Weightage]],"")</f>
        <v>1.5427942929556846E-2</v>
      </c>
      <c r="AD30" s="2">
        <v>116</v>
      </c>
      <c r="AE30" s="33">
        <f>IFERROR((_xlfn.XLOOKUP(PA[[#This Row],[Month Year]],'Modelling New'!D:D,'Modelling New'!$O:$O)*PA[[#This Row],[Lost PoA(Wh/m2)]]*PA[[#This Row],[DC Capacity Affceted (kW)]])/1000,"")</f>
        <v>157.30448642197595</v>
      </c>
      <c r="AF30" s="35"/>
    </row>
    <row r="31" spans="1:32">
      <c r="A31" s="2">
        <f t="shared" si="7"/>
        <v>28</v>
      </c>
      <c r="B31" s="156">
        <f t="shared" si="1"/>
        <v>2026</v>
      </c>
      <c r="C31" s="129">
        <f t="shared" si="2"/>
        <v>2025</v>
      </c>
      <c r="D31" s="17" t="s">
        <v>155</v>
      </c>
      <c r="E31" s="17" t="s">
        <v>155</v>
      </c>
      <c r="F31" s="25">
        <v>45839</v>
      </c>
      <c r="G31">
        <f>DAY(EOMONTH(PA[[#This Row],[Month Year]],0))</f>
        <v>31</v>
      </c>
      <c r="H31" s="26">
        <v>45869</v>
      </c>
      <c r="I31" s="29">
        <f>IFERROR(VLOOKUP(PA[[#This Row],[Date]],Raw_Data[[Date]:[Sunset Time (POA&lt;20 W/m2)]],3,0),"")</f>
        <v>0.26250000000000001</v>
      </c>
      <c r="J31" s="29">
        <f>IFERROR(VLOOKUP(PA[[#This Row],[Date]],Raw_Data[[Date]:[Sunset Time (POA&lt;20 W/m2)]],4,0),"")</f>
        <v>0.78055555555555556</v>
      </c>
      <c r="K31" s="27">
        <f>IFERROR((PA[[#This Row],[Sunset Time (POA&lt;20 W/m2)]]-PA[[#This Row],[Sunrise Time (POA&gt;20 W/m2)]])*24,"")</f>
        <v>12.433333333333332</v>
      </c>
      <c r="L31" s="3" t="s">
        <v>132</v>
      </c>
      <c r="M31" s="46">
        <f>IFERROR(VLOOKUP(PA[[#This Row],[Affceted Equipment]],'Basic Data'!$A$2:$B$114,2,0),"")</f>
        <v>1987.7249999999999</v>
      </c>
      <c r="N31" s="48">
        <f>IFERROR(VLOOKUP(PA[[#This Row],[Affceted Equipment]],'Basic Data'!$A$1:$C$118,3,0),"")</f>
        <v>0.169739565720844</v>
      </c>
      <c r="O31" s="3" t="s">
        <v>132</v>
      </c>
      <c r="P31" t="s">
        <v>248</v>
      </c>
      <c r="Q31" t="s">
        <v>497</v>
      </c>
      <c r="S31" s="24">
        <v>0.56180555555555556</v>
      </c>
      <c r="T31" s="24">
        <v>0.56527777777777777</v>
      </c>
      <c r="U31" s="24">
        <v>0.56736111111111109</v>
      </c>
      <c r="V31" s="24">
        <v>0.56874999999999998</v>
      </c>
      <c r="W31" s="33">
        <f>IF(PA[[#This Row],[Acknowledgemnet Time ]]="NA","",(PA[[#This Row],[Acknowledgemnet Time ]]-PA[[#This Row],[Fault Time]])*24)</f>
        <v>8.3333333333333037E-2</v>
      </c>
      <c r="X31" s="33">
        <f>IF(PA[[#This Row],[Work Start time on Fault]]="NA","",(PA[[#This Row],[Work Start time on Fault]]-PA[[#This Row],[Fault Time]])*24)</f>
        <v>0.13333333333333286</v>
      </c>
      <c r="Y31" s="35">
        <f>(PA[[#This Row],[Work Completiuon time on fualt]]-PA[[#This Row],[Fault Time]])*24</f>
        <v>0.16666666666666607</v>
      </c>
      <c r="Z31" s="35">
        <f>IFERROR((PA[[#This Row],[Work Completiuon time on fualt]]-PA[[#This Row],[Fault Time]])*24,"")</f>
        <v>0.16666666666666607</v>
      </c>
      <c r="AA31" s="2" t="s">
        <v>529</v>
      </c>
      <c r="AB31" s="2" t="s">
        <v>502</v>
      </c>
      <c r="AC31" s="47">
        <f>IFERROR(PA[[#This Row],[Breakdown Time]]*PA[[#This Row],[Plant Equivalent Weightage]],"")</f>
        <v>2.8289927620140567E-2</v>
      </c>
      <c r="AD31" s="2">
        <v>180</v>
      </c>
      <c r="AE31" s="33">
        <f>IFERROR((_xlfn.XLOOKUP(PA[[#This Row],[Month Year]],'Modelling New'!D:D,'Modelling New'!$O:$O)*PA[[#This Row],[Lost PoA(Wh/m2)]]*PA[[#This Row],[DC Capacity Affceted (kW)]])/1000,"")</f>
        <v>268.55342037729895</v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P32:P557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AB32:AB557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O4:O31 L4:L557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732"/>
  <sheetViews>
    <sheetView workbookViewId="0">
      <pane xSplit="8" ySplit="3" topLeftCell="U1719" activePane="bottomRight" state="frozen"/>
      <selection pane="topRight" activeCell="I1" sqref="I1"/>
      <selection pane="bottomLeft" activeCell="A4" sqref="A4"/>
      <selection pane="bottomRight" activeCell="H1728" sqref="H1728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56">
        <f t="shared" ref="B1590:B1602" si="199">YEAR(H1590)+IF(MONTH(H1590)&gt;=4,1,0)</f>
        <v>2026</v>
      </c>
      <c r="C1590" s="129">
        <f t="shared" ref="C1590:C1602" si="200">YEAR(H1590)</f>
        <v>2025</v>
      </c>
      <c r="D1590" s="2" t="s">
        <v>155</v>
      </c>
      <c r="E1590" s="2" t="s">
        <v>155</v>
      </c>
      <c r="F1590" s="39">
        <v>45839</v>
      </c>
      <c r="G1590" s="2">
        <f>DAY(EOMONTH(TA[[#This Row],[Month Year]],0))</f>
        <v>31</v>
      </c>
      <c r="H1590" s="21">
        <v>45859</v>
      </c>
      <c r="I1590" s="41">
        <f>IFERROR(VLOOKUP(TA[[#This Row],[Date]],Raw_Data[[Date]:[Sunset Time (POA&lt;20 W/m2)]],3,0),"")</f>
        <v>0.25624999999999998</v>
      </c>
      <c r="J1590" s="41">
        <f>IFERROR(VLOOKUP(TA[[#This Row],[Date]],Raw_Data[[Date]:[Sunset Time (POA&lt;20 W/m2)]],4,0),"")</f>
        <v>0.71597222222222223</v>
      </c>
      <c r="K1590" s="35">
        <f>IFERROR((TA[[#This Row],[Sunset Time (POA&lt;20 W/m2)]]-TA[[#This Row],[Sunrise Time (POA&gt;20 W/m2)]])*24,"")</f>
        <v>11.033333333333335</v>
      </c>
      <c r="L1590" s="2" t="s">
        <v>294</v>
      </c>
      <c r="M1590" s="42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27" t="s">
        <v>318</v>
      </c>
      <c r="Q1590" s="126" t="s">
        <v>318</v>
      </c>
      <c r="R1590">
        <v>131</v>
      </c>
      <c r="S1590" s="2">
        <v>38</v>
      </c>
      <c r="T1590" t="s">
        <v>295</v>
      </c>
      <c r="U1590" t="s">
        <v>300</v>
      </c>
      <c r="V1590" t="s">
        <v>298</v>
      </c>
      <c r="W1590" s="41"/>
      <c r="X1590" s="41"/>
      <c r="Y1590" s="34"/>
      <c r="Z1590" s="34"/>
      <c r="AA1590" s="35">
        <f>IF(TA[[#This Row],[Work Start time on Fault]]="NA","",(TA[[#This Row],[Fault Acknowledgement Time ]]-TA[[#This Row],[Fault Time]])*24)</f>
        <v>0</v>
      </c>
      <c r="AB1590" s="35">
        <f>(TA[[#This Row],[Work Start time on Fault]]-TA[[#This Row],[Fault Time]])*24</f>
        <v>0</v>
      </c>
      <c r="AC1590" s="34">
        <f>(TA[[#This Row],[Work Completion time on fault]]-TA[[#This Row],[Fault Time]])*24</f>
        <v>0</v>
      </c>
      <c r="AD1590" s="35">
        <f>IFERROR((TA[[#This Row],[Work Completion time on fault]]-TA[[#This Row],[Fault Time]])*24,"")</f>
        <v>0</v>
      </c>
      <c r="AE1590" t="s">
        <v>328</v>
      </c>
      <c r="AF1590" t="s">
        <v>256</v>
      </c>
      <c r="AG1590" s="2"/>
      <c r="AH1590" s="44">
        <f>1-COS(RADIANS(TA[[#This Row],[Avg. Target Angle during Fault Time (Radians)]]-TA[[#This Row],[Angle of affected equipment ]]))</f>
        <v>0.11705240714107301</v>
      </c>
      <c r="AI1590" s="35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56">
        <f t="shared" si="199"/>
        <v>2026</v>
      </c>
      <c r="C1591" s="129">
        <f t="shared" si="200"/>
        <v>2025</v>
      </c>
      <c r="D1591" s="2" t="s">
        <v>155</v>
      </c>
      <c r="E1591" s="2" t="s">
        <v>155</v>
      </c>
      <c r="F1591" s="39">
        <v>45839</v>
      </c>
      <c r="G1591" s="2">
        <f>DAY(EOMONTH(TA[[#This Row],[Month Year]],0))</f>
        <v>31</v>
      </c>
      <c r="H1591" s="21">
        <v>45859</v>
      </c>
      <c r="I1591" s="41">
        <f>IFERROR(VLOOKUP(TA[[#This Row],[Date]],Raw_Data[[Date]:[Sunset Time (POA&lt;20 W/m2)]],3,0),"")</f>
        <v>0.25624999999999998</v>
      </c>
      <c r="J1591" s="41">
        <f>IFERROR(VLOOKUP(TA[[#This Row],[Date]],Raw_Data[[Date]:[Sunset Time (POA&lt;20 W/m2)]],4,0),"")</f>
        <v>0.71597222222222223</v>
      </c>
      <c r="K1591" s="35">
        <f>IFERROR((TA[[#This Row],[Sunset Time (POA&lt;20 W/m2)]]-TA[[#This Row],[Sunrise Time (POA&gt;20 W/m2)]])*24,"")</f>
        <v>11.033333333333335</v>
      </c>
      <c r="L1591" s="2" t="s">
        <v>294</v>
      </c>
      <c r="M1591" s="42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27" t="s">
        <v>318</v>
      </c>
      <c r="Q1591" s="126" t="s">
        <v>318</v>
      </c>
      <c r="R1591">
        <v>131</v>
      </c>
      <c r="S1591" s="2">
        <v>39</v>
      </c>
      <c r="T1591" t="s">
        <v>295</v>
      </c>
      <c r="U1591" t="s">
        <v>300</v>
      </c>
      <c r="V1591" t="s">
        <v>298</v>
      </c>
      <c r="W1591" s="41"/>
      <c r="X1591" s="41"/>
      <c r="Y1591" s="34"/>
      <c r="Z1591" s="34"/>
      <c r="AA1591" s="35">
        <f>IF(TA[[#This Row],[Work Start time on Fault]]="NA","",(TA[[#This Row],[Fault Acknowledgement Time ]]-TA[[#This Row],[Fault Time]])*24)</f>
        <v>0</v>
      </c>
      <c r="AB1591" s="35">
        <f>(TA[[#This Row],[Work Start time on Fault]]-TA[[#This Row],[Fault Time]])*24</f>
        <v>0</v>
      </c>
      <c r="AC1591" s="34">
        <f>(TA[[#This Row],[Work Completion time on fault]]-TA[[#This Row],[Fault Time]])*24</f>
        <v>0</v>
      </c>
      <c r="AD1591" s="35">
        <f>IFERROR((TA[[#This Row],[Work Completion time on fault]]-TA[[#This Row],[Fault Time]])*24,"")</f>
        <v>0</v>
      </c>
      <c r="AE1591" t="s">
        <v>328</v>
      </c>
      <c r="AF1591" t="s">
        <v>256</v>
      </c>
      <c r="AG1591" s="2"/>
      <c r="AH1591" s="44">
        <f>1-COS(RADIANS(TA[[#This Row],[Avg. Target Angle during Fault Time (Radians)]]-TA[[#This Row],[Angle of affected equipment ]]))</f>
        <v>0.11705240714107301</v>
      </c>
      <c r="AI1591" s="35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56">
        <f t="shared" si="199"/>
        <v>2026</v>
      </c>
      <c r="C1592" s="129">
        <f t="shared" si="200"/>
        <v>2025</v>
      </c>
      <c r="D1592" s="2" t="s">
        <v>155</v>
      </c>
      <c r="E1592" s="2" t="s">
        <v>155</v>
      </c>
      <c r="F1592" s="39">
        <v>45839</v>
      </c>
      <c r="G1592" s="2">
        <f>DAY(EOMONTH(TA[[#This Row],[Month Year]],0))</f>
        <v>31</v>
      </c>
      <c r="H1592" s="21">
        <v>45859</v>
      </c>
      <c r="I1592" s="41">
        <f>IFERROR(VLOOKUP(TA[[#This Row],[Date]],Raw_Data[[Date]:[Sunset Time (POA&lt;20 W/m2)]],3,0),"")</f>
        <v>0.25624999999999998</v>
      </c>
      <c r="J1592" s="41">
        <f>IFERROR(VLOOKUP(TA[[#This Row],[Date]],Raw_Data[[Date]:[Sunset Time (POA&lt;20 W/m2)]],4,0),"")</f>
        <v>0.71597222222222223</v>
      </c>
      <c r="K1592" s="35">
        <f>IFERROR((TA[[#This Row],[Sunset Time (POA&lt;20 W/m2)]]-TA[[#This Row],[Sunrise Time (POA&gt;20 W/m2)]])*24,"")</f>
        <v>11.033333333333335</v>
      </c>
      <c r="L1592" s="2" t="s">
        <v>296</v>
      </c>
      <c r="M1592" s="42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27" t="s">
        <v>318</v>
      </c>
      <c r="Q1592" s="2" t="s">
        <v>321</v>
      </c>
      <c r="R1592">
        <v>133</v>
      </c>
      <c r="S1592" s="2">
        <v>26</v>
      </c>
      <c r="T1592" t="s">
        <v>297</v>
      </c>
      <c r="U1592" t="s">
        <v>300</v>
      </c>
      <c r="V1592" t="s">
        <v>314</v>
      </c>
      <c r="W1592" s="41">
        <f>IFERROR(VLOOKUP(TA[[#This Row],[Date]],Raw_Data[[Date]:[Sunset Time (POA&lt;20 W/m2)]],3,0),"")</f>
        <v>0.25624999999999998</v>
      </c>
      <c r="X1592" s="41">
        <f>IFERROR(VLOOKUP(TA[[#This Row],[Date]],Raw_Data[[Date]:[Sunset Time (POA&lt;20 W/m2)]],3,0),"")</f>
        <v>0.25624999999999998</v>
      </c>
      <c r="Y1592" s="34"/>
      <c r="Z1592" s="34">
        <v>0.76041666666666663</v>
      </c>
      <c r="AA1592" s="35">
        <f>IF(TA[[#This Row],[Work Start time on Fault]]="NA","",(TA[[#This Row],[Fault Acknowledgement Time ]]-TA[[#This Row],[Fault Time]])*24)</f>
        <v>0</v>
      </c>
      <c r="AB1592" s="35">
        <f>(TA[[#This Row],[Work Start time on Fault]]-TA[[#This Row],[Fault Time]])*24</f>
        <v>-6.1499999999999995</v>
      </c>
      <c r="AC1592" s="34">
        <f>(TA[[#This Row],[Work Completion time on fault]]-TA[[#This Row],[Fault Time]])*24</f>
        <v>12.1</v>
      </c>
      <c r="AD1592" s="35">
        <f>IFERROR((TA[[#This Row],[Work Completion time on fault]]-TA[[#This Row],[Fault Time]])*24,"")</f>
        <v>12.1</v>
      </c>
      <c r="AE1592" t="s">
        <v>328</v>
      </c>
      <c r="AF1592" t="s">
        <v>256</v>
      </c>
      <c r="AG1592" s="2"/>
      <c r="AH1592" s="44">
        <f>1-COS(RADIANS(TA[[#This Row],[Avg. Target Angle during Fault Time (Radians)]]-TA[[#This Row],[Angle of affected equipment ]]))</f>
        <v>0.11705240714107301</v>
      </c>
      <c r="AI1592" s="35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56">
        <f t="shared" si="199"/>
        <v>2026</v>
      </c>
      <c r="C1593" s="129">
        <f t="shared" si="200"/>
        <v>2025</v>
      </c>
      <c r="D1593" s="2" t="s">
        <v>155</v>
      </c>
      <c r="E1593" s="2" t="s">
        <v>155</v>
      </c>
      <c r="F1593" s="39">
        <v>45839</v>
      </c>
      <c r="G1593" s="2">
        <f>DAY(EOMONTH(TA[[#This Row],[Month Year]],0))</f>
        <v>31</v>
      </c>
      <c r="H1593" s="21">
        <v>45859</v>
      </c>
      <c r="I1593" s="41">
        <f>IFERROR(VLOOKUP(TA[[#This Row],[Date]],Raw_Data[[Date]:[Sunset Time (POA&lt;20 W/m2)]],3,0),"")</f>
        <v>0.25624999999999998</v>
      </c>
      <c r="J1593" s="41">
        <f>IFERROR(VLOOKUP(TA[[#This Row],[Date]],Raw_Data[[Date]:[Sunset Time (POA&lt;20 W/m2)]],4,0),"")</f>
        <v>0.71597222222222223</v>
      </c>
      <c r="K1593" s="35">
        <f>IFERROR((TA[[#This Row],[Sunset Time (POA&lt;20 W/m2)]]-TA[[#This Row],[Sunrise Time (POA&gt;20 W/m2)]])*24,"")</f>
        <v>11.033333333333335</v>
      </c>
      <c r="L1593" s="2" t="s">
        <v>294</v>
      </c>
      <c r="M1593" s="42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27" t="s">
        <v>316</v>
      </c>
      <c r="Q1593" s="126" t="s">
        <v>317</v>
      </c>
      <c r="R1593">
        <v>7</v>
      </c>
      <c r="S1593" s="2">
        <v>32</v>
      </c>
      <c r="T1593" t="s">
        <v>295</v>
      </c>
      <c r="U1593" t="s">
        <v>300</v>
      </c>
      <c r="V1593" t="s">
        <v>298</v>
      </c>
      <c r="W1593" s="41"/>
      <c r="X1593" s="41"/>
      <c r="Y1593" s="34"/>
      <c r="Z1593" s="34"/>
      <c r="AA1593" s="35">
        <f>IF(TA[[#This Row],[Work Start time on Fault]]="NA","",(TA[[#This Row],[Fault Acknowledgement Time ]]-TA[[#This Row],[Fault Time]])*24)</f>
        <v>0</v>
      </c>
      <c r="AB1593" s="35">
        <f>(TA[[#This Row],[Work Start time on Fault]]-TA[[#This Row],[Fault Time]])*24</f>
        <v>0</v>
      </c>
      <c r="AC1593" s="34">
        <f>(TA[[#This Row],[Work Completion time on fault]]-TA[[#This Row],[Fault Time]])*24</f>
        <v>0</v>
      </c>
      <c r="AD1593" s="35">
        <f>IFERROR((TA[[#This Row],[Work Completion time on fault]]-TA[[#This Row],[Fault Time]])*24,"")</f>
        <v>0</v>
      </c>
      <c r="AE1593" t="s">
        <v>328</v>
      </c>
      <c r="AF1593" t="s">
        <v>256</v>
      </c>
      <c r="AG1593" s="2"/>
      <c r="AH1593" s="44">
        <f>1-COS(RADIANS(TA[[#This Row],[Avg. Target Angle during Fault Time (Radians)]]-TA[[#This Row],[Angle of affected equipment ]]))</f>
        <v>0.11705240714107301</v>
      </c>
      <c r="AI1593" s="35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56">
        <f t="shared" si="199"/>
        <v>2026</v>
      </c>
      <c r="C1594" s="129">
        <f t="shared" si="200"/>
        <v>2025</v>
      </c>
      <c r="D1594" s="2" t="s">
        <v>155</v>
      </c>
      <c r="E1594" s="2" t="s">
        <v>155</v>
      </c>
      <c r="F1594" s="39">
        <v>45839</v>
      </c>
      <c r="G1594" s="2">
        <f>DAY(EOMONTH(TA[[#This Row],[Month Year]],0))</f>
        <v>31</v>
      </c>
      <c r="H1594" s="21">
        <v>45859</v>
      </c>
      <c r="I1594" s="41">
        <f>IFERROR(VLOOKUP(TA[[#This Row],[Date]],Raw_Data[[Date]:[Sunset Time (POA&lt;20 W/m2)]],3,0),"")</f>
        <v>0.25624999999999998</v>
      </c>
      <c r="J1594" s="41">
        <f>IFERROR(VLOOKUP(TA[[#This Row],[Date]],Raw_Data[[Date]:[Sunset Time (POA&lt;20 W/m2)]],4,0),"")</f>
        <v>0.71597222222222223</v>
      </c>
      <c r="K1594" s="35">
        <f>IFERROR((TA[[#This Row],[Sunset Time (POA&lt;20 W/m2)]]-TA[[#This Row],[Sunrise Time (POA&gt;20 W/m2)]])*24,"")</f>
        <v>11.033333333333335</v>
      </c>
      <c r="L1594" s="2" t="s">
        <v>294</v>
      </c>
      <c r="M1594" s="42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27" t="s">
        <v>315</v>
      </c>
      <c r="Q1594" s="126" t="s">
        <v>319</v>
      </c>
      <c r="R1594">
        <v>166</v>
      </c>
      <c r="S1594" s="2">
        <v>91</v>
      </c>
      <c r="T1594" t="s">
        <v>295</v>
      </c>
      <c r="U1594" t="s">
        <v>300</v>
      </c>
      <c r="V1594" t="s">
        <v>298</v>
      </c>
      <c r="W1594" s="41"/>
      <c r="X1594" s="41"/>
      <c r="Y1594" s="34"/>
      <c r="Z1594" s="34"/>
      <c r="AA1594" s="35">
        <f>IF(TA[[#This Row],[Work Start time on Fault]]="NA","",(TA[[#This Row],[Fault Acknowledgement Time ]]-TA[[#This Row],[Fault Time]])*24)</f>
        <v>0</v>
      </c>
      <c r="AB1594" s="35">
        <f>(TA[[#This Row],[Work Start time on Fault]]-TA[[#This Row],[Fault Time]])*24</f>
        <v>0</v>
      </c>
      <c r="AC1594" s="34">
        <f>(TA[[#This Row],[Work Completion time on fault]]-TA[[#This Row],[Fault Time]])*24</f>
        <v>0</v>
      </c>
      <c r="AD1594" s="35">
        <f>IFERROR((TA[[#This Row],[Work Completion time on fault]]-TA[[#This Row],[Fault Time]])*24,"")</f>
        <v>0</v>
      </c>
      <c r="AE1594" t="s">
        <v>328</v>
      </c>
      <c r="AF1594" t="s">
        <v>256</v>
      </c>
      <c r="AG1594" s="2"/>
      <c r="AH1594" s="44">
        <f>1-COS(RADIANS(TA[[#This Row],[Avg. Target Angle during Fault Time (Radians)]]-TA[[#This Row],[Angle of affected equipment ]]))</f>
        <v>0.11705240714107301</v>
      </c>
      <c r="AI1594" s="35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56">
        <f t="shared" si="199"/>
        <v>2026</v>
      </c>
      <c r="C1595" s="129">
        <f t="shared" si="200"/>
        <v>2025</v>
      </c>
      <c r="D1595" s="2" t="s">
        <v>155</v>
      </c>
      <c r="E1595" s="2" t="s">
        <v>155</v>
      </c>
      <c r="F1595" s="39">
        <v>45839</v>
      </c>
      <c r="G1595" s="2">
        <f>DAY(EOMONTH(TA[[#This Row],[Month Year]],0))</f>
        <v>31</v>
      </c>
      <c r="H1595" s="21">
        <v>45859</v>
      </c>
      <c r="I1595" s="41">
        <f>IFERROR(VLOOKUP(TA[[#This Row],[Date]],Raw_Data[[Date]:[Sunset Time (POA&lt;20 W/m2)]],3,0),"")</f>
        <v>0.25624999999999998</v>
      </c>
      <c r="J1595" s="41">
        <f>IFERROR(VLOOKUP(TA[[#This Row],[Date]],Raw_Data[[Date]:[Sunset Time (POA&lt;20 W/m2)]],4,0),"")</f>
        <v>0.71597222222222223</v>
      </c>
      <c r="K1595" s="35">
        <f>IFERROR((TA[[#This Row],[Sunset Time (POA&lt;20 W/m2)]]-TA[[#This Row],[Sunrise Time (POA&gt;20 W/m2)]])*24,"")</f>
        <v>11.033333333333335</v>
      </c>
      <c r="L1595" s="2" t="s">
        <v>294</v>
      </c>
      <c r="M1595" s="42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27" t="s">
        <v>316</v>
      </c>
      <c r="Q1595" s="126" t="s">
        <v>316</v>
      </c>
      <c r="R1595">
        <v>117</v>
      </c>
      <c r="S1595" s="2">
        <v>20</v>
      </c>
      <c r="T1595" t="s">
        <v>295</v>
      </c>
      <c r="U1595" t="s">
        <v>300</v>
      </c>
      <c r="V1595" t="s">
        <v>298</v>
      </c>
      <c r="W1595" s="41"/>
      <c r="X1595" s="41"/>
      <c r="Y1595" s="34"/>
      <c r="Z1595" s="34"/>
      <c r="AA1595" s="35">
        <f>IF(TA[[#This Row],[Work Start time on Fault]]="NA","",(TA[[#This Row],[Fault Acknowledgement Time ]]-TA[[#This Row],[Fault Time]])*24)</f>
        <v>0</v>
      </c>
      <c r="AB1595" s="35">
        <f>(TA[[#This Row],[Work Start time on Fault]]-TA[[#This Row],[Fault Time]])*24</f>
        <v>0</v>
      </c>
      <c r="AC1595" s="34">
        <f>(TA[[#This Row],[Work Completion time on fault]]-TA[[#This Row],[Fault Time]])*24</f>
        <v>0</v>
      </c>
      <c r="AD1595" s="35">
        <f>IFERROR((TA[[#This Row],[Work Completion time on fault]]-TA[[#This Row],[Fault Time]])*24,"")</f>
        <v>0</v>
      </c>
      <c r="AE1595" t="s">
        <v>328</v>
      </c>
      <c r="AF1595" t="s">
        <v>256</v>
      </c>
      <c r="AG1595" s="2"/>
      <c r="AH1595" s="44">
        <f>1-COS(RADIANS(TA[[#This Row],[Avg. Target Angle during Fault Time (Radians)]]-TA[[#This Row],[Angle of affected equipment ]]))</f>
        <v>0.11705240714107301</v>
      </c>
      <c r="AI1595" s="35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56">
        <f t="shared" si="199"/>
        <v>2026</v>
      </c>
      <c r="C1596" s="129">
        <f t="shared" si="200"/>
        <v>2025</v>
      </c>
      <c r="D1596" s="2" t="s">
        <v>155</v>
      </c>
      <c r="E1596" s="2" t="s">
        <v>155</v>
      </c>
      <c r="F1596" s="39">
        <v>45839</v>
      </c>
      <c r="G1596" s="2">
        <f>DAY(EOMONTH(TA[[#This Row],[Month Year]],0))</f>
        <v>31</v>
      </c>
      <c r="H1596" s="21">
        <v>45859</v>
      </c>
      <c r="I1596" s="41">
        <f>IFERROR(VLOOKUP(TA[[#This Row],[Date]],Raw_Data[[Date]:[Sunset Time (POA&lt;20 W/m2)]],3,0),"")</f>
        <v>0.25624999999999998</v>
      </c>
      <c r="J1596" s="41">
        <f>IFERROR(VLOOKUP(TA[[#This Row],[Date]],Raw_Data[[Date]:[Sunset Time (POA&lt;20 W/m2)]],4,0),"")</f>
        <v>0.71597222222222223</v>
      </c>
      <c r="K1596" s="35">
        <f>IFERROR((TA[[#This Row],[Sunset Time (POA&lt;20 W/m2)]]-TA[[#This Row],[Sunrise Time (POA&gt;20 W/m2)]])*24,"")</f>
        <v>11.033333333333335</v>
      </c>
      <c r="L1596" s="2" t="s">
        <v>294</v>
      </c>
      <c r="M1596" s="42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27" t="s">
        <v>316</v>
      </c>
      <c r="Q1596" s="126" t="s">
        <v>316</v>
      </c>
      <c r="R1596">
        <v>118</v>
      </c>
      <c r="S1596" s="2">
        <v>22</v>
      </c>
      <c r="T1596" t="s">
        <v>295</v>
      </c>
      <c r="U1596" t="s">
        <v>300</v>
      </c>
      <c r="V1596" t="s">
        <v>298</v>
      </c>
      <c r="W1596" s="41"/>
      <c r="X1596" s="41"/>
      <c r="Y1596" s="34"/>
      <c r="Z1596" s="34"/>
      <c r="AA1596" s="35">
        <f>IF(TA[[#This Row],[Work Start time on Fault]]="NA","",(TA[[#This Row],[Fault Acknowledgement Time ]]-TA[[#This Row],[Fault Time]])*24)</f>
        <v>0</v>
      </c>
      <c r="AB1596" s="35">
        <f>(TA[[#This Row],[Work Start time on Fault]]-TA[[#This Row],[Fault Time]])*24</f>
        <v>0</v>
      </c>
      <c r="AC1596" s="34">
        <f>(TA[[#This Row],[Work Completion time on fault]]-TA[[#This Row],[Fault Time]])*24</f>
        <v>0</v>
      </c>
      <c r="AD1596" s="35">
        <f>IFERROR((TA[[#This Row],[Work Completion time on fault]]-TA[[#This Row],[Fault Time]])*24,"")</f>
        <v>0</v>
      </c>
      <c r="AE1596" t="s">
        <v>328</v>
      </c>
      <c r="AF1596" t="s">
        <v>256</v>
      </c>
      <c r="AG1596" s="2"/>
      <c r="AH1596" s="44">
        <f>1-COS(RADIANS(TA[[#This Row],[Avg. Target Angle during Fault Time (Radians)]]-TA[[#This Row],[Angle of affected equipment ]]))</f>
        <v>0.11705240714107301</v>
      </c>
      <c r="AI1596" s="35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56">
        <f t="shared" si="199"/>
        <v>2026</v>
      </c>
      <c r="C1597" s="129">
        <f t="shared" si="200"/>
        <v>2025</v>
      </c>
      <c r="D1597" s="2" t="s">
        <v>155</v>
      </c>
      <c r="E1597" s="2" t="s">
        <v>155</v>
      </c>
      <c r="F1597" s="39">
        <v>45839</v>
      </c>
      <c r="G1597" s="2">
        <f>DAY(EOMONTH(TA[[#This Row],[Month Year]],0))</f>
        <v>31</v>
      </c>
      <c r="H1597" s="21">
        <v>45859</v>
      </c>
      <c r="I1597" s="41">
        <f>IFERROR(VLOOKUP(TA[[#This Row],[Date]],Raw_Data[[Date]:[Sunset Time (POA&lt;20 W/m2)]],3,0),"")</f>
        <v>0.25624999999999998</v>
      </c>
      <c r="J1597" s="41">
        <f>IFERROR(VLOOKUP(TA[[#This Row],[Date]],Raw_Data[[Date]:[Sunset Time (POA&lt;20 W/m2)]],4,0),"")</f>
        <v>0.71597222222222223</v>
      </c>
      <c r="K1597" s="35">
        <f>IFERROR((TA[[#This Row],[Sunset Time (POA&lt;20 W/m2)]]-TA[[#This Row],[Sunrise Time (POA&gt;20 W/m2)]])*24,"")</f>
        <v>11.033333333333335</v>
      </c>
      <c r="L1597" s="2" t="s">
        <v>296</v>
      </c>
      <c r="M1597" s="42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323</v>
      </c>
      <c r="Q1597" s="2" t="s">
        <v>329</v>
      </c>
      <c r="R1597">
        <v>45</v>
      </c>
      <c r="S1597" s="2">
        <v>8</v>
      </c>
      <c r="T1597" t="s">
        <v>297</v>
      </c>
      <c r="U1597" t="s">
        <v>300</v>
      </c>
      <c r="V1597" t="s">
        <v>301</v>
      </c>
      <c r="W1597" s="41"/>
      <c r="X1597" s="41"/>
      <c r="Y1597" s="34"/>
      <c r="Z1597" s="34"/>
      <c r="AA1597" s="35">
        <f>IF(TA[[#This Row],[Work Start time on Fault]]="NA","",(TA[[#This Row],[Fault Acknowledgement Time ]]-TA[[#This Row],[Fault Time]])*24)</f>
        <v>0</v>
      </c>
      <c r="AB1597" s="35">
        <f>(TA[[#This Row],[Work Start time on Fault]]-TA[[#This Row],[Fault Time]])*24</f>
        <v>0</v>
      </c>
      <c r="AC1597" s="34">
        <f>(TA[[#This Row],[Work Completion time on fault]]-TA[[#This Row],[Fault Time]])*24</f>
        <v>0</v>
      </c>
      <c r="AD1597" s="35">
        <f>IFERROR((TA[[#This Row],[Work Completion time on fault]]-TA[[#This Row],[Fault Time]])*24,"")</f>
        <v>0</v>
      </c>
      <c r="AE1597" t="s">
        <v>328</v>
      </c>
      <c r="AF1597" t="s">
        <v>256</v>
      </c>
      <c r="AG1597" s="2"/>
      <c r="AH1597" s="44">
        <f>1-COS(RADIANS(TA[[#This Row],[Avg. Target Angle during Fault Time (Radians)]]-TA[[#This Row],[Angle of affected equipment ]]))</f>
        <v>0.11705240714107301</v>
      </c>
      <c r="AI1597" s="35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56">
        <f t="shared" si="199"/>
        <v>2026</v>
      </c>
      <c r="C1598" s="129">
        <f t="shared" si="200"/>
        <v>2025</v>
      </c>
      <c r="D1598" s="2" t="s">
        <v>155</v>
      </c>
      <c r="E1598" s="2" t="s">
        <v>155</v>
      </c>
      <c r="F1598" s="39">
        <v>45839</v>
      </c>
      <c r="G1598" s="2">
        <f>DAY(EOMONTH(TA[[#This Row],[Month Year]],0))</f>
        <v>31</v>
      </c>
      <c r="H1598" s="21">
        <v>45859</v>
      </c>
      <c r="I1598" s="41">
        <f>IFERROR(VLOOKUP(TA[[#This Row],[Date]],Raw_Data[[Date]:[Sunset Time (POA&lt;20 W/m2)]],3,0),"")</f>
        <v>0.25624999999999998</v>
      </c>
      <c r="J1598" s="41">
        <f>IFERROR(VLOOKUP(TA[[#This Row],[Date]],Raw_Data[[Date]:[Sunset Time (POA&lt;20 W/m2)]],4,0),"")</f>
        <v>0.71597222222222223</v>
      </c>
      <c r="K1598" s="35">
        <f>IFERROR((TA[[#This Row],[Sunset Time (POA&lt;20 W/m2)]]-TA[[#This Row],[Sunrise Time (POA&gt;20 W/m2)]])*24,"")</f>
        <v>11.033333333333335</v>
      </c>
      <c r="L1598" s="2" t="s">
        <v>296</v>
      </c>
      <c r="M1598" s="42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323</v>
      </c>
      <c r="Q1598" s="2" t="s">
        <v>329</v>
      </c>
      <c r="R1598">
        <v>47</v>
      </c>
      <c r="S1598" s="2">
        <v>18</v>
      </c>
      <c r="T1598" t="s">
        <v>297</v>
      </c>
      <c r="U1598" t="s">
        <v>300</v>
      </c>
      <c r="V1598" t="s">
        <v>301</v>
      </c>
      <c r="W1598" s="41"/>
      <c r="X1598" s="41"/>
      <c r="Y1598" s="34"/>
      <c r="Z1598" s="34"/>
      <c r="AA1598" s="35">
        <f>IF(TA[[#This Row],[Work Start time on Fault]]="NA","",(TA[[#This Row],[Fault Acknowledgement Time ]]-TA[[#This Row],[Fault Time]])*24)</f>
        <v>0</v>
      </c>
      <c r="AB1598" s="35">
        <f>(TA[[#This Row],[Work Start time on Fault]]-TA[[#This Row],[Fault Time]])*24</f>
        <v>0</v>
      </c>
      <c r="AC1598" s="34">
        <f>(TA[[#This Row],[Work Completion time on fault]]-TA[[#This Row],[Fault Time]])*24</f>
        <v>0</v>
      </c>
      <c r="AD1598" s="35">
        <f>IFERROR((TA[[#This Row],[Work Completion time on fault]]-TA[[#This Row],[Fault Time]])*24,"")</f>
        <v>0</v>
      </c>
      <c r="AE1598" t="s">
        <v>328</v>
      </c>
      <c r="AF1598" t="s">
        <v>256</v>
      </c>
      <c r="AG1598" s="2"/>
      <c r="AH1598" s="44">
        <f>1-COS(RADIANS(TA[[#This Row],[Avg. Target Angle during Fault Time (Radians)]]-TA[[#This Row],[Angle of affected equipment ]]))</f>
        <v>0.11705240714107301</v>
      </c>
      <c r="AI1598" s="35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56">
        <f t="shared" si="199"/>
        <v>2026</v>
      </c>
      <c r="C1599" s="129">
        <f t="shared" si="200"/>
        <v>2025</v>
      </c>
      <c r="D1599" s="2" t="s">
        <v>155</v>
      </c>
      <c r="E1599" s="2" t="s">
        <v>155</v>
      </c>
      <c r="F1599" s="39">
        <v>45839</v>
      </c>
      <c r="G1599" s="2">
        <f>DAY(EOMONTH(TA[[#This Row],[Month Year]],0))</f>
        <v>31</v>
      </c>
      <c r="H1599" s="21">
        <v>45859</v>
      </c>
      <c r="I1599" s="41">
        <f>IFERROR(VLOOKUP(TA[[#This Row],[Date]],Raw_Data[[Date]:[Sunset Time (POA&lt;20 W/m2)]],3,0),"")</f>
        <v>0.25624999999999998</v>
      </c>
      <c r="J1599" s="41">
        <f>IFERROR(VLOOKUP(TA[[#This Row],[Date]],Raw_Data[[Date]:[Sunset Time (POA&lt;20 W/m2)]],4,0),"")</f>
        <v>0.71597222222222223</v>
      </c>
      <c r="K1599" s="35">
        <f>IFERROR((TA[[#This Row],[Sunset Time (POA&lt;20 W/m2)]]-TA[[#This Row],[Sunrise Time (POA&gt;20 W/m2)]])*24,"")</f>
        <v>11.033333333333335</v>
      </c>
      <c r="L1599" s="2" t="s">
        <v>296</v>
      </c>
      <c r="M1599" s="42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330</v>
      </c>
      <c r="Q1599" s="2" t="s">
        <v>323</v>
      </c>
      <c r="R1599">
        <v>30</v>
      </c>
      <c r="S1599" s="2">
        <v>57</v>
      </c>
      <c r="T1599" t="s">
        <v>297</v>
      </c>
      <c r="U1599" t="s">
        <v>300</v>
      </c>
      <c r="V1599" t="s">
        <v>301</v>
      </c>
      <c r="W1599" s="41"/>
      <c r="X1599" s="41"/>
      <c r="Y1599" s="34"/>
      <c r="Z1599" s="34"/>
      <c r="AA1599" s="35">
        <f>IF(TA[[#This Row],[Work Start time on Fault]]="NA","",(TA[[#This Row],[Fault Acknowledgement Time ]]-TA[[#This Row],[Fault Time]])*24)</f>
        <v>0</v>
      </c>
      <c r="AB1599" s="35">
        <f>(TA[[#This Row],[Work Start time on Fault]]-TA[[#This Row],[Fault Time]])*24</f>
        <v>0</v>
      </c>
      <c r="AC1599" s="34">
        <f>(TA[[#This Row],[Work Completion time on fault]]-TA[[#This Row],[Fault Time]])*24</f>
        <v>0</v>
      </c>
      <c r="AD1599" s="35">
        <f>IFERROR((TA[[#This Row],[Work Completion time on fault]]-TA[[#This Row],[Fault Time]])*24,"")</f>
        <v>0</v>
      </c>
      <c r="AE1599" t="s">
        <v>328</v>
      </c>
      <c r="AF1599" t="s">
        <v>256</v>
      </c>
      <c r="AG1599" s="2"/>
      <c r="AH1599" s="44">
        <f>1-COS(RADIANS(TA[[#This Row],[Avg. Target Angle during Fault Time (Radians)]]-TA[[#This Row],[Angle of affected equipment ]]))</f>
        <v>0.11705240714107301</v>
      </c>
      <c r="AI1599" s="35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56">
        <f t="shared" si="199"/>
        <v>2026</v>
      </c>
      <c r="C1600" s="129">
        <f t="shared" si="200"/>
        <v>2025</v>
      </c>
      <c r="D1600" s="2" t="s">
        <v>155</v>
      </c>
      <c r="E1600" s="2" t="s">
        <v>155</v>
      </c>
      <c r="F1600" s="39">
        <v>45839</v>
      </c>
      <c r="G1600" s="2">
        <f>DAY(EOMONTH(TA[[#This Row],[Month Year]],0))</f>
        <v>31</v>
      </c>
      <c r="H1600" s="21">
        <v>45859</v>
      </c>
      <c r="I1600" s="41">
        <f>IFERROR(VLOOKUP(TA[[#This Row],[Date]],Raw_Data[[Date]:[Sunset Time (POA&lt;20 W/m2)]],3,0),"")</f>
        <v>0.25624999999999998</v>
      </c>
      <c r="J1600" s="41">
        <f>IFERROR(VLOOKUP(TA[[#This Row],[Date]],Raw_Data[[Date]:[Sunset Time (POA&lt;20 W/m2)]],4,0),"")</f>
        <v>0.71597222222222223</v>
      </c>
      <c r="K1600" s="35">
        <f>IFERROR((TA[[#This Row],[Sunset Time (POA&lt;20 W/m2)]]-TA[[#This Row],[Sunrise Time (POA&gt;20 W/m2)]])*24,"")</f>
        <v>11.033333333333335</v>
      </c>
      <c r="L1600" s="2" t="s">
        <v>296</v>
      </c>
      <c r="M1600" s="42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330</v>
      </c>
      <c r="Q1600" s="2" t="s">
        <v>323</v>
      </c>
      <c r="R1600">
        <v>31</v>
      </c>
      <c r="S1600" s="2">
        <v>61</v>
      </c>
      <c r="T1600" t="s">
        <v>297</v>
      </c>
      <c r="U1600" t="s">
        <v>300</v>
      </c>
      <c r="V1600" t="s">
        <v>301</v>
      </c>
      <c r="W1600" s="41"/>
      <c r="X1600" s="41"/>
      <c r="Y1600" s="34"/>
      <c r="Z1600" s="34"/>
      <c r="AA1600" s="35">
        <f>IF(TA[[#This Row],[Work Start time on Fault]]="NA","",(TA[[#This Row],[Fault Acknowledgement Time ]]-TA[[#This Row],[Fault Time]])*24)</f>
        <v>0</v>
      </c>
      <c r="AB1600" s="35">
        <f>(TA[[#This Row],[Work Start time on Fault]]-TA[[#This Row],[Fault Time]])*24</f>
        <v>0</v>
      </c>
      <c r="AC1600" s="34">
        <f>(TA[[#This Row],[Work Completion time on fault]]-TA[[#This Row],[Fault Time]])*24</f>
        <v>0</v>
      </c>
      <c r="AD1600" s="35">
        <f>IFERROR((TA[[#This Row],[Work Completion time on fault]]-TA[[#This Row],[Fault Time]])*24,"")</f>
        <v>0</v>
      </c>
      <c r="AE1600" t="s">
        <v>328</v>
      </c>
      <c r="AF1600" t="s">
        <v>256</v>
      </c>
      <c r="AG1600" s="2"/>
      <c r="AH1600" s="44">
        <f>1-COS(RADIANS(TA[[#This Row],[Avg. Target Angle during Fault Time (Radians)]]-TA[[#This Row],[Angle of affected equipment ]]))</f>
        <v>0.11705240714107301</v>
      </c>
      <c r="AI1600" s="35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56">
        <f t="shared" si="199"/>
        <v>2026</v>
      </c>
      <c r="C1601" s="129">
        <f t="shared" si="200"/>
        <v>2025</v>
      </c>
      <c r="D1601" s="2" t="s">
        <v>155</v>
      </c>
      <c r="E1601" s="2" t="s">
        <v>155</v>
      </c>
      <c r="F1601" s="39">
        <v>45839</v>
      </c>
      <c r="G1601" s="2">
        <f>DAY(EOMONTH(TA[[#This Row],[Month Year]],0))</f>
        <v>31</v>
      </c>
      <c r="H1601" s="21">
        <v>45859</v>
      </c>
      <c r="I1601" s="41">
        <f>IFERROR(VLOOKUP(TA[[#This Row],[Date]],Raw_Data[[Date]:[Sunset Time (POA&lt;20 W/m2)]],3,0),"")</f>
        <v>0.25624999999999998</v>
      </c>
      <c r="J1601" s="41">
        <f>IFERROR(VLOOKUP(TA[[#This Row],[Date]],Raw_Data[[Date]:[Sunset Time (POA&lt;20 W/m2)]],4,0),"")</f>
        <v>0.71597222222222223</v>
      </c>
      <c r="K1601" s="35">
        <f>IFERROR((TA[[#This Row],[Sunset Time (POA&lt;20 W/m2)]]-TA[[#This Row],[Sunrise Time (POA&gt;20 W/m2)]])*24,"")</f>
        <v>11.033333333333335</v>
      </c>
      <c r="L1601" s="2" t="s">
        <v>312</v>
      </c>
      <c r="M1601" s="42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330</v>
      </c>
      <c r="Q1601" s="2" t="s">
        <v>323</v>
      </c>
      <c r="R1601">
        <v>26</v>
      </c>
      <c r="S1601" s="2">
        <v>37</v>
      </c>
      <c r="T1601" t="s">
        <v>297</v>
      </c>
      <c r="U1601" t="s">
        <v>300</v>
      </c>
      <c r="V1601" t="s">
        <v>301</v>
      </c>
      <c r="W1601" s="41"/>
      <c r="X1601" s="41"/>
      <c r="Y1601" s="34"/>
      <c r="Z1601" s="34"/>
      <c r="AA1601" s="35">
        <f>IF(TA[[#This Row],[Work Start time on Fault]]="NA","",(TA[[#This Row],[Fault Acknowledgement Time ]]-TA[[#This Row],[Fault Time]])*24)</f>
        <v>0</v>
      </c>
      <c r="AB1601" s="35">
        <f>(TA[[#This Row],[Work Start time on Fault]]-TA[[#This Row],[Fault Time]])*24</f>
        <v>0</v>
      </c>
      <c r="AC1601" s="34">
        <f>(TA[[#This Row],[Work Completion time on fault]]-TA[[#This Row],[Fault Time]])*24</f>
        <v>0</v>
      </c>
      <c r="AD1601" s="35">
        <f>IFERROR((TA[[#This Row],[Work Completion time on fault]]-TA[[#This Row],[Fault Time]])*24,"")</f>
        <v>0</v>
      </c>
      <c r="AE1601" t="s">
        <v>328</v>
      </c>
      <c r="AF1601" t="s">
        <v>256</v>
      </c>
      <c r="AG1601" s="2"/>
      <c r="AH1601" s="44">
        <f>1-COS(RADIANS(TA[[#This Row],[Avg. Target Angle during Fault Time (Radians)]]-TA[[#This Row],[Angle of affected equipment ]]))</f>
        <v>0.11705240714107301</v>
      </c>
      <c r="AI1601" s="35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56">
        <f t="shared" si="199"/>
        <v>2026</v>
      </c>
      <c r="C1602" s="129">
        <f t="shared" si="200"/>
        <v>2025</v>
      </c>
      <c r="D1602" s="2" t="s">
        <v>155</v>
      </c>
      <c r="E1602" s="2" t="s">
        <v>155</v>
      </c>
      <c r="F1602" s="39">
        <v>45839</v>
      </c>
      <c r="G1602" s="2">
        <f>DAY(EOMONTH(TA[[#This Row],[Month Year]],0))</f>
        <v>31</v>
      </c>
      <c r="H1602" s="21">
        <v>45859</v>
      </c>
      <c r="I1602" s="41">
        <f>IFERROR(VLOOKUP(TA[[#This Row],[Date]],Raw_Data[[Date]:[Sunset Time (POA&lt;20 W/m2)]],3,0),"")</f>
        <v>0.25624999999999998</v>
      </c>
      <c r="J1602" s="41">
        <f>IFERROR(VLOOKUP(TA[[#This Row],[Date]],Raw_Data[[Date]:[Sunset Time (POA&lt;20 W/m2)]],4,0),"")</f>
        <v>0.71597222222222223</v>
      </c>
      <c r="K1602" s="35">
        <f>IFERROR((TA[[#This Row],[Sunset Time (POA&lt;20 W/m2)]]-TA[[#This Row],[Sunrise Time (POA&gt;20 W/m2)]])*24,"")</f>
        <v>11.033333333333335</v>
      </c>
      <c r="L1602" s="2" t="s">
        <v>312</v>
      </c>
      <c r="M1602" s="42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330</v>
      </c>
      <c r="Q1602" s="2" t="s">
        <v>323</v>
      </c>
      <c r="R1602">
        <v>27</v>
      </c>
      <c r="S1602" s="2">
        <v>42</v>
      </c>
      <c r="T1602" t="s">
        <v>297</v>
      </c>
      <c r="U1602" t="s">
        <v>300</v>
      </c>
      <c r="V1602" t="s">
        <v>301</v>
      </c>
      <c r="W1602" s="41">
        <f>IFERROR(VLOOKUP(TA[[#This Row],[Date]],Raw_Data[[Date]:[Sunset Time (POA&lt;20 W/m2)]],3,0),"")</f>
        <v>0.25624999999999998</v>
      </c>
      <c r="X1602" s="41">
        <f>IFERROR(VLOOKUP(TA[[#This Row],[Date]],Raw_Data[[Date]:[Sunset Time (POA&lt;20 W/m2)]],3,0),"")</f>
        <v>0.25624999999999998</v>
      </c>
      <c r="Y1602" s="34"/>
      <c r="Z1602" s="34">
        <v>0.76041666666666663</v>
      </c>
      <c r="AA1602" s="35">
        <f>IF(TA[[#This Row],[Work Start time on Fault]]="NA","",(TA[[#This Row],[Fault Acknowledgement Time ]]-TA[[#This Row],[Fault Time]])*24)</f>
        <v>0</v>
      </c>
      <c r="AB1602" s="35">
        <f>(TA[[#This Row],[Work Start time on Fault]]-TA[[#This Row],[Fault Time]])*24</f>
        <v>-6.1499999999999995</v>
      </c>
      <c r="AC1602" s="34">
        <f>(TA[[#This Row],[Work Completion time on fault]]-TA[[#This Row],[Fault Time]])*24</f>
        <v>12.1</v>
      </c>
      <c r="AD1602" s="35">
        <f>IFERROR((TA[[#This Row],[Work Completion time on fault]]-TA[[#This Row],[Fault Time]])*24,"")</f>
        <v>12.1</v>
      </c>
      <c r="AE1602" t="s">
        <v>309</v>
      </c>
      <c r="AF1602" t="s">
        <v>256</v>
      </c>
      <c r="AG1602" s="2"/>
      <c r="AH1602" s="44">
        <f>1-COS(RADIANS(TA[[#This Row],[Avg. Target Angle during Fault Time (Radians)]]-TA[[#This Row],[Angle of affected equipment ]]))</f>
        <v>0.11705240714107301</v>
      </c>
      <c r="AI1602" s="35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56">
        <f t="shared" ref="B1603:B1615" si="201">YEAR(H1603)+IF(MONTH(H1603)&gt;=4,1,0)</f>
        <v>2026</v>
      </c>
      <c r="C1603" s="129">
        <f t="shared" ref="C1603:C1615" si="202">YEAR(H1603)</f>
        <v>2025</v>
      </c>
      <c r="D1603" s="2" t="s">
        <v>155</v>
      </c>
      <c r="E1603" s="2" t="s">
        <v>155</v>
      </c>
      <c r="F1603" s="39">
        <v>45839</v>
      </c>
      <c r="G1603" s="2">
        <f>DAY(EOMONTH(TA[[#This Row],[Month Year]],0))</f>
        <v>31</v>
      </c>
      <c r="H1603" s="21">
        <v>45860</v>
      </c>
      <c r="I1603" s="41">
        <f>IFERROR(VLOOKUP(TA[[#This Row],[Date]],Raw_Data[[Date]:[Sunset Time (POA&lt;20 W/m2)]],3,0),"")</f>
        <v>0.25694444444444442</v>
      </c>
      <c r="J1603" s="41">
        <f>IFERROR(VLOOKUP(TA[[#This Row],[Date]],Raw_Data[[Date]:[Sunset Time (POA&lt;20 W/m2)]],4,0),"")</f>
        <v>0.78472222222222221</v>
      </c>
      <c r="K1603" s="35">
        <f>IFERROR((TA[[#This Row],[Sunset Time (POA&lt;20 W/m2)]]-TA[[#This Row],[Sunrise Time (POA&gt;20 W/m2)]])*24,"")</f>
        <v>12.666666666666668</v>
      </c>
      <c r="L1603" s="2" t="s">
        <v>294</v>
      </c>
      <c r="M1603" s="42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27" t="s">
        <v>318</v>
      </c>
      <c r="Q1603" s="126" t="s">
        <v>318</v>
      </c>
      <c r="R1603">
        <v>131</v>
      </c>
      <c r="S1603" s="2">
        <v>38</v>
      </c>
      <c r="T1603" t="s">
        <v>295</v>
      </c>
      <c r="U1603" t="s">
        <v>300</v>
      </c>
      <c r="V1603" t="s">
        <v>298</v>
      </c>
      <c r="W1603" s="41"/>
      <c r="X1603" s="41"/>
      <c r="Y1603" s="34"/>
      <c r="Z1603" s="34"/>
      <c r="AA1603" s="35">
        <f>IF(TA[[#This Row],[Work Start time on Fault]]="NA","",(TA[[#This Row],[Fault Acknowledgement Time ]]-TA[[#This Row],[Fault Time]])*24)</f>
        <v>0</v>
      </c>
      <c r="AB1603" s="35">
        <f>(TA[[#This Row],[Work Start time on Fault]]-TA[[#This Row],[Fault Time]])*24</f>
        <v>0</v>
      </c>
      <c r="AC1603" s="34">
        <f>(TA[[#This Row],[Work Completion time on fault]]-TA[[#This Row],[Fault Time]])*24</f>
        <v>0</v>
      </c>
      <c r="AD1603" s="35">
        <f>IFERROR((TA[[#This Row],[Work Completion time on fault]]-TA[[#This Row],[Fault Time]])*24,"")</f>
        <v>0</v>
      </c>
      <c r="AE1603" t="s">
        <v>328</v>
      </c>
      <c r="AF1603" t="s">
        <v>256</v>
      </c>
      <c r="AG1603" s="2"/>
      <c r="AH1603" s="44">
        <f>1-COS(RADIANS(TA[[#This Row],[Avg. Target Angle during Fault Time (Radians)]]-TA[[#This Row],[Angle of affected equipment ]]))</f>
        <v>0.11705240714107301</v>
      </c>
      <c r="AI1603" s="35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56">
        <f t="shared" si="201"/>
        <v>2026</v>
      </c>
      <c r="C1604" s="129">
        <f t="shared" si="202"/>
        <v>2025</v>
      </c>
      <c r="D1604" s="2" t="s">
        <v>155</v>
      </c>
      <c r="E1604" s="2" t="s">
        <v>155</v>
      </c>
      <c r="F1604" s="39">
        <v>45839</v>
      </c>
      <c r="G1604" s="2">
        <f>DAY(EOMONTH(TA[[#This Row],[Month Year]],0))</f>
        <v>31</v>
      </c>
      <c r="H1604" s="21">
        <v>45860</v>
      </c>
      <c r="I1604" s="41">
        <f>IFERROR(VLOOKUP(TA[[#This Row],[Date]],Raw_Data[[Date]:[Sunset Time (POA&lt;20 W/m2)]],3,0),"")</f>
        <v>0.25694444444444442</v>
      </c>
      <c r="J1604" s="41">
        <f>IFERROR(VLOOKUP(TA[[#This Row],[Date]],Raw_Data[[Date]:[Sunset Time (POA&lt;20 W/m2)]],4,0),"")</f>
        <v>0.78472222222222221</v>
      </c>
      <c r="K1604" s="35">
        <f>IFERROR((TA[[#This Row],[Sunset Time (POA&lt;20 W/m2)]]-TA[[#This Row],[Sunrise Time (POA&gt;20 W/m2)]])*24,"")</f>
        <v>12.666666666666668</v>
      </c>
      <c r="L1604" s="2" t="s">
        <v>294</v>
      </c>
      <c r="M1604" s="42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27" t="s">
        <v>318</v>
      </c>
      <c r="Q1604" s="126" t="s">
        <v>318</v>
      </c>
      <c r="R1604">
        <v>131</v>
      </c>
      <c r="S1604" s="2">
        <v>39</v>
      </c>
      <c r="T1604" t="s">
        <v>295</v>
      </c>
      <c r="U1604" t="s">
        <v>300</v>
      </c>
      <c r="V1604" t="s">
        <v>298</v>
      </c>
      <c r="W1604" s="41"/>
      <c r="X1604" s="41"/>
      <c r="Y1604" s="34"/>
      <c r="Z1604" s="34"/>
      <c r="AA1604" s="35">
        <f>IF(TA[[#This Row],[Work Start time on Fault]]="NA","",(TA[[#This Row],[Fault Acknowledgement Time ]]-TA[[#This Row],[Fault Time]])*24)</f>
        <v>0</v>
      </c>
      <c r="AB1604" s="35">
        <f>(TA[[#This Row],[Work Start time on Fault]]-TA[[#This Row],[Fault Time]])*24</f>
        <v>0</v>
      </c>
      <c r="AC1604" s="34">
        <f>(TA[[#This Row],[Work Completion time on fault]]-TA[[#This Row],[Fault Time]])*24</f>
        <v>0</v>
      </c>
      <c r="AD1604" s="35">
        <f>IFERROR((TA[[#This Row],[Work Completion time on fault]]-TA[[#This Row],[Fault Time]])*24,"")</f>
        <v>0</v>
      </c>
      <c r="AE1604" t="s">
        <v>328</v>
      </c>
      <c r="AF1604" t="s">
        <v>256</v>
      </c>
      <c r="AG1604" s="2"/>
      <c r="AH1604" s="44">
        <f>1-COS(RADIANS(TA[[#This Row],[Avg. Target Angle during Fault Time (Radians)]]-TA[[#This Row],[Angle of affected equipment ]]))</f>
        <v>0.11705240714107301</v>
      </c>
      <c r="AI1604" s="35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56">
        <f t="shared" si="201"/>
        <v>2026</v>
      </c>
      <c r="C1605" s="129">
        <f t="shared" si="202"/>
        <v>2025</v>
      </c>
      <c r="D1605" s="2" t="s">
        <v>155</v>
      </c>
      <c r="E1605" s="2" t="s">
        <v>155</v>
      </c>
      <c r="F1605" s="39">
        <v>45839</v>
      </c>
      <c r="G1605" s="2">
        <f>DAY(EOMONTH(TA[[#This Row],[Month Year]],0))</f>
        <v>31</v>
      </c>
      <c r="H1605" s="21">
        <v>45860</v>
      </c>
      <c r="I1605" s="41">
        <f>IFERROR(VLOOKUP(TA[[#This Row],[Date]],Raw_Data[[Date]:[Sunset Time (POA&lt;20 W/m2)]],3,0),"")</f>
        <v>0.25694444444444442</v>
      </c>
      <c r="J1605" s="41">
        <f>IFERROR(VLOOKUP(TA[[#This Row],[Date]],Raw_Data[[Date]:[Sunset Time (POA&lt;20 W/m2)]],4,0),"")</f>
        <v>0.78472222222222221</v>
      </c>
      <c r="K1605" s="35">
        <f>IFERROR((TA[[#This Row],[Sunset Time (POA&lt;20 W/m2)]]-TA[[#This Row],[Sunrise Time (POA&gt;20 W/m2)]])*24,"")</f>
        <v>12.666666666666668</v>
      </c>
      <c r="L1605" s="2" t="s">
        <v>296</v>
      </c>
      <c r="M1605" s="42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27" t="s">
        <v>318</v>
      </c>
      <c r="Q1605" s="2" t="s">
        <v>321</v>
      </c>
      <c r="R1605">
        <v>133</v>
      </c>
      <c r="S1605" s="2">
        <v>26</v>
      </c>
      <c r="T1605" t="s">
        <v>297</v>
      </c>
      <c r="U1605" t="s">
        <v>300</v>
      </c>
      <c r="V1605" t="s">
        <v>314</v>
      </c>
      <c r="W1605" s="41">
        <f>IFERROR(VLOOKUP(TA[[#This Row],[Date]],Raw_Data[[Date]:[Sunset Time (POA&lt;20 W/m2)]],3,0),"")</f>
        <v>0.25694444444444442</v>
      </c>
      <c r="X1605" s="41">
        <f>IFERROR(VLOOKUP(TA[[#This Row],[Date]],Raw_Data[[Date]:[Sunset Time (POA&lt;20 W/m2)]],3,0),"")</f>
        <v>0.25694444444444442</v>
      </c>
      <c r="Y1605" s="34"/>
      <c r="Z1605" s="34">
        <v>0.76041666666666663</v>
      </c>
      <c r="AA1605" s="35">
        <f>IF(TA[[#This Row],[Work Start time on Fault]]="NA","",(TA[[#This Row],[Fault Acknowledgement Time ]]-TA[[#This Row],[Fault Time]])*24)</f>
        <v>0</v>
      </c>
      <c r="AB1605" s="35">
        <f>(TA[[#This Row],[Work Start time on Fault]]-TA[[#This Row],[Fault Time]])*24</f>
        <v>-6.1666666666666661</v>
      </c>
      <c r="AC1605" s="34">
        <f>(TA[[#This Row],[Work Completion time on fault]]-TA[[#This Row],[Fault Time]])*24</f>
        <v>12.083333333333332</v>
      </c>
      <c r="AD1605" s="35">
        <f>IFERROR((TA[[#This Row],[Work Completion time on fault]]-TA[[#This Row],[Fault Time]])*24,"")</f>
        <v>12.083333333333332</v>
      </c>
      <c r="AE1605" t="s">
        <v>328</v>
      </c>
      <c r="AF1605" t="s">
        <v>256</v>
      </c>
      <c r="AG1605" s="2"/>
      <c r="AH1605" s="44">
        <f>1-COS(RADIANS(TA[[#This Row],[Avg. Target Angle during Fault Time (Radians)]]-TA[[#This Row],[Angle of affected equipment ]]))</f>
        <v>0.11705240714107301</v>
      </c>
      <c r="AI1605" s="35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56">
        <f t="shared" si="201"/>
        <v>2026</v>
      </c>
      <c r="C1606" s="129">
        <f t="shared" si="202"/>
        <v>2025</v>
      </c>
      <c r="D1606" s="2" t="s">
        <v>155</v>
      </c>
      <c r="E1606" s="2" t="s">
        <v>155</v>
      </c>
      <c r="F1606" s="39">
        <v>45839</v>
      </c>
      <c r="G1606" s="2">
        <f>DAY(EOMONTH(TA[[#This Row],[Month Year]],0))</f>
        <v>31</v>
      </c>
      <c r="H1606" s="21">
        <v>45860</v>
      </c>
      <c r="I1606" s="41">
        <f>IFERROR(VLOOKUP(TA[[#This Row],[Date]],Raw_Data[[Date]:[Sunset Time (POA&lt;20 W/m2)]],3,0),"")</f>
        <v>0.25694444444444442</v>
      </c>
      <c r="J1606" s="41">
        <f>IFERROR(VLOOKUP(TA[[#This Row],[Date]],Raw_Data[[Date]:[Sunset Time (POA&lt;20 W/m2)]],4,0),"")</f>
        <v>0.78472222222222221</v>
      </c>
      <c r="K1606" s="35">
        <f>IFERROR((TA[[#This Row],[Sunset Time (POA&lt;20 W/m2)]]-TA[[#This Row],[Sunrise Time (POA&gt;20 W/m2)]])*24,"")</f>
        <v>12.666666666666668</v>
      </c>
      <c r="L1606" s="2" t="s">
        <v>294</v>
      </c>
      <c r="M1606" s="42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27" t="s">
        <v>316</v>
      </c>
      <c r="Q1606" s="126" t="s">
        <v>317</v>
      </c>
      <c r="R1606">
        <v>7</v>
      </c>
      <c r="S1606" s="2">
        <v>32</v>
      </c>
      <c r="T1606" t="s">
        <v>295</v>
      </c>
      <c r="U1606" t="s">
        <v>300</v>
      </c>
      <c r="V1606" t="s">
        <v>298</v>
      </c>
      <c r="W1606" s="41"/>
      <c r="X1606" s="41"/>
      <c r="Y1606" s="34"/>
      <c r="Z1606" s="34"/>
      <c r="AA1606" s="35">
        <f>IF(TA[[#This Row],[Work Start time on Fault]]="NA","",(TA[[#This Row],[Fault Acknowledgement Time ]]-TA[[#This Row],[Fault Time]])*24)</f>
        <v>0</v>
      </c>
      <c r="AB1606" s="35">
        <f>(TA[[#This Row],[Work Start time on Fault]]-TA[[#This Row],[Fault Time]])*24</f>
        <v>0</v>
      </c>
      <c r="AC1606" s="34">
        <f>(TA[[#This Row],[Work Completion time on fault]]-TA[[#This Row],[Fault Time]])*24</f>
        <v>0</v>
      </c>
      <c r="AD1606" s="35">
        <f>IFERROR((TA[[#This Row],[Work Completion time on fault]]-TA[[#This Row],[Fault Time]])*24,"")</f>
        <v>0</v>
      </c>
      <c r="AE1606" t="s">
        <v>328</v>
      </c>
      <c r="AF1606" t="s">
        <v>256</v>
      </c>
      <c r="AG1606" s="2"/>
      <c r="AH1606" s="44">
        <f>1-COS(RADIANS(TA[[#This Row],[Avg. Target Angle during Fault Time (Radians)]]-TA[[#This Row],[Angle of affected equipment ]]))</f>
        <v>0.11705240714107301</v>
      </c>
      <c r="AI1606" s="35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56">
        <f t="shared" si="201"/>
        <v>2026</v>
      </c>
      <c r="C1607" s="129">
        <f t="shared" si="202"/>
        <v>2025</v>
      </c>
      <c r="D1607" s="2" t="s">
        <v>155</v>
      </c>
      <c r="E1607" s="2" t="s">
        <v>155</v>
      </c>
      <c r="F1607" s="39">
        <v>45839</v>
      </c>
      <c r="G1607" s="2">
        <f>DAY(EOMONTH(TA[[#This Row],[Month Year]],0))</f>
        <v>31</v>
      </c>
      <c r="H1607" s="21">
        <v>45860</v>
      </c>
      <c r="I1607" s="41">
        <f>IFERROR(VLOOKUP(TA[[#This Row],[Date]],Raw_Data[[Date]:[Sunset Time (POA&lt;20 W/m2)]],3,0),"")</f>
        <v>0.25694444444444442</v>
      </c>
      <c r="J1607" s="41">
        <f>IFERROR(VLOOKUP(TA[[#This Row],[Date]],Raw_Data[[Date]:[Sunset Time (POA&lt;20 W/m2)]],4,0),"")</f>
        <v>0.78472222222222221</v>
      </c>
      <c r="K1607" s="35">
        <f>IFERROR((TA[[#This Row],[Sunset Time (POA&lt;20 W/m2)]]-TA[[#This Row],[Sunrise Time (POA&gt;20 W/m2)]])*24,"")</f>
        <v>12.666666666666668</v>
      </c>
      <c r="L1607" s="2" t="s">
        <v>294</v>
      </c>
      <c r="M1607" s="42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27" t="s">
        <v>315</v>
      </c>
      <c r="Q1607" s="126" t="s">
        <v>319</v>
      </c>
      <c r="R1607">
        <v>166</v>
      </c>
      <c r="S1607" s="2">
        <v>91</v>
      </c>
      <c r="T1607" t="s">
        <v>295</v>
      </c>
      <c r="U1607" t="s">
        <v>300</v>
      </c>
      <c r="V1607" t="s">
        <v>298</v>
      </c>
      <c r="W1607" s="41"/>
      <c r="X1607" s="41"/>
      <c r="Y1607" s="34"/>
      <c r="Z1607" s="34"/>
      <c r="AA1607" s="35">
        <f>IF(TA[[#This Row],[Work Start time on Fault]]="NA","",(TA[[#This Row],[Fault Acknowledgement Time ]]-TA[[#This Row],[Fault Time]])*24)</f>
        <v>0</v>
      </c>
      <c r="AB1607" s="35">
        <f>(TA[[#This Row],[Work Start time on Fault]]-TA[[#This Row],[Fault Time]])*24</f>
        <v>0</v>
      </c>
      <c r="AC1607" s="34">
        <f>(TA[[#This Row],[Work Completion time on fault]]-TA[[#This Row],[Fault Time]])*24</f>
        <v>0</v>
      </c>
      <c r="AD1607" s="35">
        <f>IFERROR((TA[[#This Row],[Work Completion time on fault]]-TA[[#This Row],[Fault Time]])*24,"")</f>
        <v>0</v>
      </c>
      <c r="AE1607" t="s">
        <v>328</v>
      </c>
      <c r="AF1607" t="s">
        <v>256</v>
      </c>
      <c r="AG1607" s="2"/>
      <c r="AH1607" s="44">
        <f>1-COS(RADIANS(TA[[#This Row],[Avg. Target Angle during Fault Time (Radians)]]-TA[[#This Row],[Angle of affected equipment ]]))</f>
        <v>0.11705240714107301</v>
      </c>
      <c r="AI1607" s="35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56">
        <f t="shared" si="201"/>
        <v>2026</v>
      </c>
      <c r="C1608" s="129">
        <f t="shared" si="202"/>
        <v>2025</v>
      </c>
      <c r="D1608" s="2" t="s">
        <v>155</v>
      </c>
      <c r="E1608" s="2" t="s">
        <v>155</v>
      </c>
      <c r="F1608" s="39">
        <v>45839</v>
      </c>
      <c r="G1608" s="2">
        <f>DAY(EOMONTH(TA[[#This Row],[Month Year]],0))</f>
        <v>31</v>
      </c>
      <c r="H1608" s="21">
        <v>45860</v>
      </c>
      <c r="I1608" s="41">
        <f>IFERROR(VLOOKUP(TA[[#This Row],[Date]],Raw_Data[[Date]:[Sunset Time (POA&lt;20 W/m2)]],3,0),"")</f>
        <v>0.25694444444444442</v>
      </c>
      <c r="J1608" s="41">
        <f>IFERROR(VLOOKUP(TA[[#This Row],[Date]],Raw_Data[[Date]:[Sunset Time (POA&lt;20 W/m2)]],4,0),"")</f>
        <v>0.78472222222222221</v>
      </c>
      <c r="K1608" s="35">
        <f>IFERROR((TA[[#This Row],[Sunset Time (POA&lt;20 W/m2)]]-TA[[#This Row],[Sunrise Time (POA&gt;20 W/m2)]])*24,"")</f>
        <v>12.666666666666668</v>
      </c>
      <c r="L1608" s="2" t="s">
        <v>294</v>
      </c>
      <c r="M1608" s="42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27" t="s">
        <v>316</v>
      </c>
      <c r="Q1608" s="126" t="s">
        <v>316</v>
      </c>
      <c r="R1608">
        <v>117</v>
      </c>
      <c r="S1608" s="2">
        <v>20</v>
      </c>
      <c r="T1608" t="s">
        <v>295</v>
      </c>
      <c r="U1608" t="s">
        <v>300</v>
      </c>
      <c r="V1608" t="s">
        <v>298</v>
      </c>
      <c r="W1608" s="41"/>
      <c r="X1608" s="41"/>
      <c r="Y1608" s="34"/>
      <c r="Z1608" s="34"/>
      <c r="AA1608" s="35">
        <f>IF(TA[[#This Row],[Work Start time on Fault]]="NA","",(TA[[#This Row],[Fault Acknowledgement Time ]]-TA[[#This Row],[Fault Time]])*24)</f>
        <v>0</v>
      </c>
      <c r="AB1608" s="35">
        <f>(TA[[#This Row],[Work Start time on Fault]]-TA[[#This Row],[Fault Time]])*24</f>
        <v>0</v>
      </c>
      <c r="AC1608" s="34">
        <f>(TA[[#This Row],[Work Completion time on fault]]-TA[[#This Row],[Fault Time]])*24</f>
        <v>0</v>
      </c>
      <c r="AD1608" s="35">
        <f>IFERROR((TA[[#This Row],[Work Completion time on fault]]-TA[[#This Row],[Fault Time]])*24,"")</f>
        <v>0</v>
      </c>
      <c r="AE1608" t="s">
        <v>328</v>
      </c>
      <c r="AF1608" t="s">
        <v>256</v>
      </c>
      <c r="AG1608" s="2"/>
      <c r="AH1608" s="44">
        <f>1-COS(RADIANS(TA[[#This Row],[Avg. Target Angle during Fault Time (Radians)]]-TA[[#This Row],[Angle of affected equipment ]]))</f>
        <v>0.11705240714107301</v>
      </c>
      <c r="AI1608" s="35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56">
        <f t="shared" si="201"/>
        <v>2026</v>
      </c>
      <c r="C1609" s="129">
        <f t="shared" si="202"/>
        <v>2025</v>
      </c>
      <c r="D1609" s="2" t="s">
        <v>155</v>
      </c>
      <c r="E1609" s="2" t="s">
        <v>155</v>
      </c>
      <c r="F1609" s="39">
        <v>45839</v>
      </c>
      <c r="G1609" s="2">
        <f>DAY(EOMONTH(TA[[#This Row],[Month Year]],0))</f>
        <v>31</v>
      </c>
      <c r="H1609" s="21">
        <v>45860</v>
      </c>
      <c r="I1609" s="41">
        <f>IFERROR(VLOOKUP(TA[[#This Row],[Date]],Raw_Data[[Date]:[Sunset Time (POA&lt;20 W/m2)]],3,0),"")</f>
        <v>0.25694444444444442</v>
      </c>
      <c r="J1609" s="41">
        <f>IFERROR(VLOOKUP(TA[[#This Row],[Date]],Raw_Data[[Date]:[Sunset Time (POA&lt;20 W/m2)]],4,0),"")</f>
        <v>0.78472222222222221</v>
      </c>
      <c r="K1609" s="35">
        <f>IFERROR((TA[[#This Row],[Sunset Time (POA&lt;20 W/m2)]]-TA[[#This Row],[Sunrise Time (POA&gt;20 W/m2)]])*24,"")</f>
        <v>12.666666666666668</v>
      </c>
      <c r="L1609" s="2" t="s">
        <v>294</v>
      </c>
      <c r="M1609" s="42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27" t="s">
        <v>316</v>
      </c>
      <c r="Q1609" s="126" t="s">
        <v>316</v>
      </c>
      <c r="R1609">
        <v>118</v>
      </c>
      <c r="S1609" s="2">
        <v>22</v>
      </c>
      <c r="T1609" t="s">
        <v>295</v>
      </c>
      <c r="U1609" t="s">
        <v>300</v>
      </c>
      <c r="V1609" t="s">
        <v>298</v>
      </c>
      <c r="W1609" s="41"/>
      <c r="X1609" s="41"/>
      <c r="Y1609" s="34"/>
      <c r="Z1609" s="34"/>
      <c r="AA1609" s="35">
        <f>IF(TA[[#This Row],[Work Start time on Fault]]="NA","",(TA[[#This Row],[Fault Acknowledgement Time ]]-TA[[#This Row],[Fault Time]])*24)</f>
        <v>0</v>
      </c>
      <c r="AB1609" s="35">
        <f>(TA[[#This Row],[Work Start time on Fault]]-TA[[#This Row],[Fault Time]])*24</f>
        <v>0</v>
      </c>
      <c r="AC1609" s="34">
        <f>(TA[[#This Row],[Work Completion time on fault]]-TA[[#This Row],[Fault Time]])*24</f>
        <v>0</v>
      </c>
      <c r="AD1609" s="35">
        <f>IFERROR((TA[[#This Row],[Work Completion time on fault]]-TA[[#This Row],[Fault Time]])*24,"")</f>
        <v>0</v>
      </c>
      <c r="AE1609" t="s">
        <v>328</v>
      </c>
      <c r="AF1609" t="s">
        <v>256</v>
      </c>
      <c r="AG1609" s="2"/>
      <c r="AH1609" s="44">
        <f>1-COS(RADIANS(TA[[#This Row],[Avg. Target Angle during Fault Time (Radians)]]-TA[[#This Row],[Angle of affected equipment ]]))</f>
        <v>0.11705240714107301</v>
      </c>
      <c r="AI1609" s="35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56">
        <f t="shared" si="201"/>
        <v>2026</v>
      </c>
      <c r="C1610" s="129">
        <f t="shared" si="202"/>
        <v>2025</v>
      </c>
      <c r="D1610" s="2" t="s">
        <v>155</v>
      </c>
      <c r="E1610" s="2" t="s">
        <v>155</v>
      </c>
      <c r="F1610" s="39">
        <v>45839</v>
      </c>
      <c r="G1610" s="2">
        <f>DAY(EOMONTH(TA[[#This Row],[Month Year]],0))</f>
        <v>31</v>
      </c>
      <c r="H1610" s="21">
        <v>45860</v>
      </c>
      <c r="I1610" s="41">
        <f>IFERROR(VLOOKUP(TA[[#This Row],[Date]],Raw_Data[[Date]:[Sunset Time (POA&lt;20 W/m2)]],3,0),"")</f>
        <v>0.25694444444444442</v>
      </c>
      <c r="J1610" s="41">
        <f>IFERROR(VLOOKUP(TA[[#This Row],[Date]],Raw_Data[[Date]:[Sunset Time (POA&lt;20 W/m2)]],4,0),"")</f>
        <v>0.78472222222222221</v>
      </c>
      <c r="K1610" s="35">
        <f>IFERROR((TA[[#This Row],[Sunset Time (POA&lt;20 W/m2)]]-TA[[#This Row],[Sunrise Time (POA&gt;20 W/m2)]])*24,"")</f>
        <v>12.666666666666668</v>
      </c>
      <c r="L1610" s="2" t="s">
        <v>296</v>
      </c>
      <c r="M1610" s="42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323</v>
      </c>
      <c r="Q1610" s="2" t="s">
        <v>329</v>
      </c>
      <c r="R1610">
        <v>45</v>
      </c>
      <c r="S1610" s="2">
        <v>8</v>
      </c>
      <c r="T1610" t="s">
        <v>297</v>
      </c>
      <c r="U1610" t="s">
        <v>300</v>
      </c>
      <c r="V1610" t="s">
        <v>301</v>
      </c>
      <c r="W1610" s="41"/>
      <c r="X1610" s="41"/>
      <c r="Y1610" s="34"/>
      <c r="Z1610" s="34"/>
      <c r="AA1610" s="35">
        <f>IF(TA[[#This Row],[Work Start time on Fault]]="NA","",(TA[[#This Row],[Fault Acknowledgement Time ]]-TA[[#This Row],[Fault Time]])*24)</f>
        <v>0</v>
      </c>
      <c r="AB1610" s="35">
        <f>(TA[[#This Row],[Work Start time on Fault]]-TA[[#This Row],[Fault Time]])*24</f>
        <v>0</v>
      </c>
      <c r="AC1610" s="34">
        <f>(TA[[#This Row],[Work Completion time on fault]]-TA[[#This Row],[Fault Time]])*24</f>
        <v>0</v>
      </c>
      <c r="AD1610" s="35">
        <f>IFERROR((TA[[#This Row],[Work Completion time on fault]]-TA[[#This Row],[Fault Time]])*24,"")</f>
        <v>0</v>
      </c>
      <c r="AE1610" t="s">
        <v>328</v>
      </c>
      <c r="AF1610" t="s">
        <v>256</v>
      </c>
      <c r="AG1610" s="2"/>
      <c r="AH1610" s="44">
        <f>1-COS(RADIANS(TA[[#This Row],[Avg. Target Angle during Fault Time (Radians)]]-TA[[#This Row],[Angle of affected equipment ]]))</f>
        <v>0.11705240714107301</v>
      </c>
      <c r="AI1610" s="35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56">
        <f t="shared" si="201"/>
        <v>2026</v>
      </c>
      <c r="C1611" s="129">
        <f t="shared" si="202"/>
        <v>2025</v>
      </c>
      <c r="D1611" s="2" t="s">
        <v>155</v>
      </c>
      <c r="E1611" s="2" t="s">
        <v>155</v>
      </c>
      <c r="F1611" s="39">
        <v>45839</v>
      </c>
      <c r="G1611" s="2">
        <f>DAY(EOMONTH(TA[[#This Row],[Month Year]],0))</f>
        <v>31</v>
      </c>
      <c r="H1611" s="21">
        <v>45860</v>
      </c>
      <c r="I1611" s="41">
        <f>IFERROR(VLOOKUP(TA[[#This Row],[Date]],Raw_Data[[Date]:[Sunset Time (POA&lt;20 W/m2)]],3,0),"")</f>
        <v>0.25694444444444442</v>
      </c>
      <c r="J1611" s="41">
        <f>IFERROR(VLOOKUP(TA[[#This Row],[Date]],Raw_Data[[Date]:[Sunset Time (POA&lt;20 W/m2)]],4,0),"")</f>
        <v>0.78472222222222221</v>
      </c>
      <c r="K1611" s="35">
        <f>IFERROR((TA[[#This Row],[Sunset Time (POA&lt;20 W/m2)]]-TA[[#This Row],[Sunrise Time (POA&gt;20 W/m2)]])*24,"")</f>
        <v>12.666666666666668</v>
      </c>
      <c r="L1611" s="2" t="s">
        <v>296</v>
      </c>
      <c r="M1611" s="42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323</v>
      </c>
      <c r="Q1611" s="2" t="s">
        <v>329</v>
      </c>
      <c r="R1611">
        <v>47</v>
      </c>
      <c r="S1611" s="2">
        <v>18</v>
      </c>
      <c r="T1611" t="s">
        <v>297</v>
      </c>
      <c r="U1611" t="s">
        <v>300</v>
      </c>
      <c r="V1611" t="s">
        <v>301</v>
      </c>
      <c r="W1611" s="41"/>
      <c r="X1611" s="41"/>
      <c r="Y1611" s="34"/>
      <c r="Z1611" s="34"/>
      <c r="AA1611" s="35">
        <f>IF(TA[[#This Row],[Work Start time on Fault]]="NA","",(TA[[#This Row],[Fault Acknowledgement Time ]]-TA[[#This Row],[Fault Time]])*24)</f>
        <v>0</v>
      </c>
      <c r="AB1611" s="35">
        <f>(TA[[#This Row],[Work Start time on Fault]]-TA[[#This Row],[Fault Time]])*24</f>
        <v>0</v>
      </c>
      <c r="AC1611" s="34">
        <f>(TA[[#This Row],[Work Completion time on fault]]-TA[[#This Row],[Fault Time]])*24</f>
        <v>0</v>
      </c>
      <c r="AD1611" s="35">
        <f>IFERROR((TA[[#This Row],[Work Completion time on fault]]-TA[[#This Row],[Fault Time]])*24,"")</f>
        <v>0</v>
      </c>
      <c r="AE1611" t="s">
        <v>328</v>
      </c>
      <c r="AF1611" t="s">
        <v>256</v>
      </c>
      <c r="AG1611" s="2"/>
      <c r="AH1611" s="44">
        <f>1-COS(RADIANS(TA[[#This Row],[Avg. Target Angle during Fault Time (Radians)]]-TA[[#This Row],[Angle of affected equipment ]]))</f>
        <v>0.11705240714107301</v>
      </c>
      <c r="AI1611" s="35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56">
        <f t="shared" si="201"/>
        <v>2026</v>
      </c>
      <c r="C1612" s="129">
        <f t="shared" si="202"/>
        <v>2025</v>
      </c>
      <c r="D1612" s="2" t="s">
        <v>155</v>
      </c>
      <c r="E1612" s="2" t="s">
        <v>155</v>
      </c>
      <c r="F1612" s="39">
        <v>45839</v>
      </c>
      <c r="G1612" s="2">
        <f>DAY(EOMONTH(TA[[#This Row],[Month Year]],0))</f>
        <v>31</v>
      </c>
      <c r="H1612" s="21">
        <v>45860</v>
      </c>
      <c r="I1612" s="41">
        <f>IFERROR(VLOOKUP(TA[[#This Row],[Date]],Raw_Data[[Date]:[Sunset Time (POA&lt;20 W/m2)]],3,0),"")</f>
        <v>0.25694444444444442</v>
      </c>
      <c r="J1612" s="41">
        <f>IFERROR(VLOOKUP(TA[[#This Row],[Date]],Raw_Data[[Date]:[Sunset Time (POA&lt;20 W/m2)]],4,0),"")</f>
        <v>0.78472222222222221</v>
      </c>
      <c r="K1612" s="35">
        <f>IFERROR((TA[[#This Row],[Sunset Time (POA&lt;20 W/m2)]]-TA[[#This Row],[Sunrise Time (POA&gt;20 W/m2)]])*24,"")</f>
        <v>12.666666666666668</v>
      </c>
      <c r="L1612" s="2" t="s">
        <v>296</v>
      </c>
      <c r="M1612" s="42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330</v>
      </c>
      <c r="Q1612" s="2" t="s">
        <v>323</v>
      </c>
      <c r="R1612">
        <v>30</v>
      </c>
      <c r="S1612" s="2">
        <v>57</v>
      </c>
      <c r="T1612" t="s">
        <v>297</v>
      </c>
      <c r="U1612" t="s">
        <v>300</v>
      </c>
      <c r="V1612" t="s">
        <v>301</v>
      </c>
      <c r="W1612" s="41"/>
      <c r="X1612" s="41"/>
      <c r="Y1612" s="34"/>
      <c r="Z1612" s="34"/>
      <c r="AA1612" s="35">
        <f>IF(TA[[#This Row],[Work Start time on Fault]]="NA","",(TA[[#This Row],[Fault Acknowledgement Time ]]-TA[[#This Row],[Fault Time]])*24)</f>
        <v>0</v>
      </c>
      <c r="AB1612" s="35">
        <f>(TA[[#This Row],[Work Start time on Fault]]-TA[[#This Row],[Fault Time]])*24</f>
        <v>0</v>
      </c>
      <c r="AC1612" s="34">
        <f>(TA[[#This Row],[Work Completion time on fault]]-TA[[#This Row],[Fault Time]])*24</f>
        <v>0</v>
      </c>
      <c r="AD1612" s="35">
        <f>IFERROR((TA[[#This Row],[Work Completion time on fault]]-TA[[#This Row],[Fault Time]])*24,"")</f>
        <v>0</v>
      </c>
      <c r="AE1612" t="s">
        <v>328</v>
      </c>
      <c r="AF1612" t="s">
        <v>256</v>
      </c>
      <c r="AG1612" s="2"/>
      <c r="AH1612" s="44">
        <f>1-COS(RADIANS(TA[[#This Row],[Avg. Target Angle during Fault Time (Radians)]]-TA[[#This Row],[Angle of affected equipment ]]))</f>
        <v>0.11705240714107301</v>
      </c>
      <c r="AI1612" s="35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56">
        <f t="shared" si="201"/>
        <v>2026</v>
      </c>
      <c r="C1613" s="129">
        <f t="shared" si="202"/>
        <v>2025</v>
      </c>
      <c r="D1613" s="2" t="s">
        <v>155</v>
      </c>
      <c r="E1613" s="2" t="s">
        <v>155</v>
      </c>
      <c r="F1613" s="39">
        <v>45839</v>
      </c>
      <c r="G1613" s="2">
        <f>DAY(EOMONTH(TA[[#This Row],[Month Year]],0))</f>
        <v>31</v>
      </c>
      <c r="H1613" s="21">
        <v>45860</v>
      </c>
      <c r="I1613" s="41">
        <f>IFERROR(VLOOKUP(TA[[#This Row],[Date]],Raw_Data[[Date]:[Sunset Time (POA&lt;20 W/m2)]],3,0),"")</f>
        <v>0.25694444444444442</v>
      </c>
      <c r="J1613" s="41">
        <f>IFERROR(VLOOKUP(TA[[#This Row],[Date]],Raw_Data[[Date]:[Sunset Time (POA&lt;20 W/m2)]],4,0),"")</f>
        <v>0.78472222222222221</v>
      </c>
      <c r="K1613" s="35">
        <f>IFERROR((TA[[#This Row],[Sunset Time (POA&lt;20 W/m2)]]-TA[[#This Row],[Sunrise Time (POA&gt;20 W/m2)]])*24,"")</f>
        <v>12.666666666666668</v>
      </c>
      <c r="L1613" s="2" t="s">
        <v>296</v>
      </c>
      <c r="M1613" s="42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330</v>
      </c>
      <c r="Q1613" s="2" t="s">
        <v>323</v>
      </c>
      <c r="R1613">
        <v>31</v>
      </c>
      <c r="S1613" s="2">
        <v>61</v>
      </c>
      <c r="T1613" t="s">
        <v>297</v>
      </c>
      <c r="U1613" t="s">
        <v>300</v>
      </c>
      <c r="V1613" t="s">
        <v>301</v>
      </c>
      <c r="W1613" s="41"/>
      <c r="X1613" s="41"/>
      <c r="Y1613" s="34"/>
      <c r="Z1613" s="34"/>
      <c r="AA1613" s="35">
        <f>IF(TA[[#This Row],[Work Start time on Fault]]="NA","",(TA[[#This Row],[Fault Acknowledgement Time ]]-TA[[#This Row],[Fault Time]])*24)</f>
        <v>0</v>
      </c>
      <c r="AB1613" s="35">
        <f>(TA[[#This Row],[Work Start time on Fault]]-TA[[#This Row],[Fault Time]])*24</f>
        <v>0</v>
      </c>
      <c r="AC1613" s="34">
        <f>(TA[[#This Row],[Work Completion time on fault]]-TA[[#This Row],[Fault Time]])*24</f>
        <v>0</v>
      </c>
      <c r="AD1613" s="35">
        <f>IFERROR((TA[[#This Row],[Work Completion time on fault]]-TA[[#This Row],[Fault Time]])*24,"")</f>
        <v>0</v>
      </c>
      <c r="AE1613" t="s">
        <v>328</v>
      </c>
      <c r="AF1613" t="s">
        <v>256</v>
      </c>
      <c r="AG1613" s="2"/>
      <c r="AH1613" s="44">
        <f>1-COS(RADIANS(TA[[#This Row],[Avg. Target Angle during Fault Time (Radians)]]-TA[[#This Row],[Angle of affected equipment ]]))</f>
        <v>0.11705240714107301</v>
      </c>
      <c r="AI1613" s="35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56">
        <f t="shared" si="201"/>
        <v>2026</v>
      </c>
      <c r="C1614" s="129">
        <f t="shared" si="202"/>
        <v>2025</v>
      </c>
      <c r="D1614" s="2" t="s">
        <v>155</v>
      </c>
      <c r="E1614" s="2" t="s">
        <v>155</v>
      </c>
      <c r="F1614" s="39">
        <v>45839</v>
      </c>
      <c r="G1614" s="2">
        <f>DAY(EOMONTH(TA[[#This Row],[Month Year]],0))</f>
        <v>31</v>
      </c>
      <c r="H1614" s="21">
        <v>45860</v>
      </c>
      <c r="I1614" s="41">
        <f>IFERROR(VLOOKUP(TA[[#This Row],[Date]],Raw_Data[[Date]:[Sunset Time (POA&lt;20 W/m2)]],3,0),"")</f>
        <v>0.25694444444444442</v>
      </c>
      <c r="J1614" s="41">
        <f>IFERROR(VLOOKUP(TA[[#This Row],[Date]],Raw_Data[[Date]:[Sunset Time (POA&lt;20 W/m2)]],4,0),"")</f>
        <v>0.78472222222222221</v>
      </c>
      <c r="K1614" s="35">
        <f>IFERROR((TA[[#This Row],[Sunset Time (POA&lt;20 W/m2)]]-TA[[#This Row],[Sunrise Time (POA&gt;20 W/m2)]])*24,"")</f>
        <v>12.666666666666668</v>
      </c>
      <c r="L1614" s="2" t="s">
        <v>312</v>
      </c>
      <c r="M1614" s="42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330</v>
      </c>
      <c r="Q1614" s="2" t="s">
        <v>323</v>
      </c>
      <c r="R1614">
        <v>26</v>
      </c>
      <c r="S1614" s="2">
        <v>37</v>
      </c>
      <c r="T1614" t="s">
        <v>297</v>
      </c>
      <c r="U1614" t="s">
        <v>300</v>
      </c>
      <c r="V1614" t="s">
        <v>301</v>
      </c>
      <c r="W1614" s="41"/>
      <c r="X1614" s="41"/>
      <c r="Y1614" s="34"/>
      <c r="Z1614" s="34"/>
      <c r="AA1614" s="35">
        <f>IF(TA[[#This Row],[Work Start time on Fault]]="NA","",(TA[[#This Row],[Fault Acknowledgement Time ]]-TA[[#This Row],[Fault Time]])*24)</f>
        <v>0</v>
      </c>
      <c r="AB1614" s="35">
        <f>(TA[[#This Row],[Work Start time on Fault]]-TA[[#This Row],[Fault Time]])*24</f>
        <v>0</v>
      </c>
      <c r="AC1614" s="34">
        <f>(TA[[#This Row],[Work Completion time on fault]]-TA[[#This Row],[Fault Time]])*24</f>
        <v>0</v>
      </c>
      <c r="AD1614" s="35">
        <f>IFERROR((TA[[#This Row],[Work Completion time on fault]]-TA[[#This Row],[Fault Time]])*24,"")</f>
        <v>0</v>
      </c>
      <c r="AE1614" t="s">
        <v>328</v>
      </c>
      <c r="AF1614" t="s">
        <v>256</v>
      </c>
      <c r="AG1614" s="2"/>
      <c r="AH1614" s="44">
        <f>1-COS(RADIANS(TA[[#This Row],[Avg. Target Angle during Fault Time (Radians)]]-TA[[#This Row],[Angle of affected equipment ]]))</f>
        <v>0.11705240714107301</v>
      </c>
      <c r="AI1614" s="35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56">
        <f t="shared" si="201"/>
        <v>2026</v>
      </c>
      <c r="C1615" s="129">
        <f t="shared" si="202"/>
        <v>2025</v>
      </c>
      <c r="D1615" s="2" t="s">
        <v>155</v>
      </c>
      <c r="E1615" s="2" t="s">
        <v>155</v>
      </c>
      <c r="F1615" s="39">
        <v>45839</v>
      </c>
      <c r="G1615" s="2">
        <f>DAY(EOMONTH(TA[[#This Row],[Month Year]],0))</f>
        <v>31</v>
      </c>
      <c r="H1615" s="21">
        <v>45860</v>
      </c>
      <c r="I1615" s="41">
        <f>IFERROR(VLOOKUP(TA[[#This Row],[Date]],Raw_Data[[Date]:[Sunset Time (POA&lt;20 W/m2)]],3,0),"")</f>
        <v>0.25694444444444442</v>
      </c>
      <c r="J1615" s="41">
        <f>IFERROR(VLOOKUP(TA[[#This Row],[Date]],Raw_Data[[Date]:[Sunset Time (POA&lt;20 W/m2)]],4,0),"")</f>
        <v>0.78472222222222221</v>
      </c>
      <c r="K1615" s="35">
        <f>IFERROR((TA[[#This Row],[Sunset Time (POA&lt;20 W/m2)]]-TA[[#This Row],[Sunrise Time (POA&gt;20 W/m2)]])*24,"")</f>
        <v>12.666666666666668</v>
      </c>
      <c r="L1615" s="2" t="s">
        <v>312</v>
      </c>
      <c r="M1615" s="42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330</v>
      </c>
      <c r="Q1615" s="2" t="s">
        <v>323</v>
      </c>
      <c r="R1615">
        <v>27</v>
      </c>
      <c r="S1615" s="2">
        <v>42</v>
      </c>
      <c r="T1615" t="s">
        <v>297</v>
      </c>
      <c r="U1615" t="s">
        <v>300</v>
      </c>
      <c r="V1615" t="s">
        <v>301</v>
      </c>
      <c r="W1615" s="41">
        <f>IFERROR(VLOOKUP(TA[[#This Row],[Date]],Raw_Data[[Date]:[Sunset Time (POA&lt;20 W/m2)]],3,0),"")</f>
        <v>0.25694444444444442</v>
      </c>
      <c r="X1615" s="41">
        <f>IFERROR(VLOOKUP(TA[[#This Row],[Date]],Raw_Data[[Date]:[Sunset Time (POA&lt;20 W/m2)]],3,0),"")</f>
        <v>0.25694444444444442</v>
      </c>
      <c r="Y1615" s="34"/>
      <c r="Z1615" s="34">
        <v>0.76041666666666663</v>
      </c>
      <c r="AA1615" s="35">
        <f>IF(TA[[#This Row],[Work Start time on Fault]]="NA","",(TA[[#This Row],[Fault Acknowledgement Time ]]-TA[[#This Row],[Fault Time]])*24)</f>
        <v>0</v>
      </c>
      <c r="AB1615" s="35">
        <f>(TA[[#This Row],[Work Start time on Fault]]-TA[[#This Row],[Fault Time]])*24</f>
        <v>-6.1666666666666661</v>
      </c>
      <c r="AC1615" s="34">
        <f>(TA[[#This Row],[Work Completion time on fault]]-TA[[#This Row],[Fault Time]])*24</f>
        <v>12.083333333333332</v>
      </c>
      <c r="AD1615" s="35">
        <f>IFERROR((TA[[#This Row],[Work Completion time on fault]]-TA[[#This Row],[Fault Time]])*24,"")</f>
        <v>12.083333333333332</v>
      </c>
      <c r="AE1615" t="s">
        <v>309</v>
      </c>
      <c r="AF1615" t="s">
        <v>256</v>
      </c>
      <c r="AG1615" s="2"/>
      <c r="AH1615" s="44">
        <f>1-COS(RADIANS(TA[[#This Row],[Avg. Target Angle during Fault Time (Radians)]]-TA[[#This Row],[Angle of affected equipment ]]))</f>
        <v>0.11705240714107301</v>
      </c>
      <c r="AI1615" s="35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56">
        <f t="shared" ref="B1616:B1628" si="203">YEAR(H1616)+IF(MONTH(H1616)&gt;=4,1,0)</f>
        <v>2026</v>
      </c>
      <c r="C1616" s="129">
        <f t="shared" ref="C1616:C1628" si="204">YEAR(H1616)</f>
        <v>2025</v>
      </c>
      <c r="D1616" s="2" t="s">
        <v>155</v>
      </c>
      <c r="E1616" s="2" t="s">
        <v>155</v>
      </c>
      <c r="F1616" s="39">
        <v>45839</v>
      </c>
      <c r="G1616" s="2">
        <f>DAY(EOMONTH(TA[[#This Row],[Month Year]],0))</f>
        <v>31</v>
      </c>
      <c r="H1616" s="21">
        <v>45861</v>
      </c>
      <c r="I1616" s="41">
        <f>IFERROR(VLOOKUP(TA[[#This Row],[Date]],Raw_Data[[Date]:[Sunset Time (POA&lt;20 W/m2)]],3,0),"")</f>
        <v>0.27152777777777776</v>
      </c>
      <c r="J1616" s="41">
        <f>IFERROR(VLOOKUP(TA[[#This Row],[Date]],Raw_Data[[Date]:[Sunset Time (POA&lt;20 W/m2)]],4,0),"")</f>
        <v>0.77361111111111114</v>
      </c>
      <c r="K1616" s="35">
        <f>IFERROR((TA[[#This Row],[Sunset Time (POA&lt;20 W/m2)]]-TA[[#This Row],[Sunrise Time (POA&gt;20 W/m2)]])*24,"")</f>
        <v>12.050000000000002</v>
      </c>
      <c r="L1616" s="2" t="s">
        <v>294</v>
      </c>
      <c r="M1616" s="42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27" t="s">
        <v>318</v>
      </c>
      <c r="Q1616" s="126" t="s">
        <v>318</v>
      </c>
      <c r="R1616">
        <v>131</v>
      </c>
      <c r="S1616" s="2">
        <v>38</v>
      </c>
      <c r="T1616" t="s">
        <v>295</v>
      </c>
      <c r="U1616" t="s">
        <v>300</v>
      </c>
      <c r="V1616" t="s">
        <v>298</v>
      </c>
      <c r="W1616" s="41"/>
      <c r="X1616" s="41"/>
      <c r="Y1616" s="34"/>
      <c r="Z1616" s="34"/>
      <c r="AA1616" s="35">
        <f>IF(TA[[#This Row],[Work Start time on Fault]]="NA","",(TA[[#This Row],[Fault Acknowledgement Time ]]-TA[[#This Row],[Fault Time]])*24)</f>
        <v>0</v>
      </c>
      <c r="AB1616" s="35">
        <f>(TA[[#This Row],[Work Start time on Fault]]-TA[[#This Row],[Fault Time]])*24</f>
        <v>0</v>
      </c>
      <c r="AC1616" s="34">
        <f>(TA[[#This Row],[Work Completion time on fault]]-TA[[#This Row],[Fault Time]])*24</f>
        <v>0</v>
      </c>
      <c r="AD1616" s="35">
        <f>IFERROR((TA[[#This Row],[Work Completion time on fault]]-TA[[#This Row],[Fault Time]])*24,"")</f>
        <v>0</v>
      </c>
      <c r="AE1616" t="s">
        <v>328</v>
      </c>
      <c r="AF1616" t="s">
        <v>256</v>
      </c>
      <c r="AG1616" s="2"/>
      <c r="AH1616" s="44">
        <f>1-COS(RADIANS(TA[[#This Row],[Avg. Target Angle during Fault Time (Radians)]]-TA[[#This Row],[Angle of affected equipment ]]))</f>
        <v>0.11705240714107301</v>
      </c>
      <c r="AI1616" s="35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56">
        <f t="shared" si="203"/>
        <v>2026</v>
      </c>
      <c r="C1617" s="129">
        <f t="shared" si="204"/>
        <v>2025</v>
      </c>
      <c r="D1617" s="2" t="s">
        <v>155</v>
      </c>
      <c r="E1617" s="2" t="s">
        <v>155</v>
      </c>
      <c r="F1617" s="39">
        <v>45839</v>
      </c>
      <c r="G1617" s="2">
        <f>DAY(EOMONTH(TA[[#This Row],[Month Year]],0))</f>
        <v>31</v>
      </c>
      <c r="H1617" s="21">
        <v>45861</v>
      </c>
      <c r="I1617" s="41">
        <f>IFERROR(VLOOKUP(TA[[#This Row],[Date]],Raw_Data[[Date]:[Sunset Time (POA&lt;20 W/m2)]],3,0),"")</f>
        <v>0.27152777777777776</v>
      </c>
      <c r="J1617" s="41">
        <f>IFERROR(VLOOKUP(TA[[#This Row],[Date]],Raw_Data[[Date]:[Sunset Time (POA&lt;20 W/m2)]],4,0),"")</f>
        <v>0.77361111111111114</v>
      </c>
      <c r="K1617" s="35">
        <f>IFERROR((TA[[#This Row],[Sunset Time (POA&lt;20 W/m2)]]-TA[[#This Row],[Sunrise Time (POA&gt;20 W/m2)]])*24,"")</f>
        <v>12.050000000000002</v>
      </c>
      <c r="L1617" s="2" t="s">
        <v>294</v>
      </c>
      <c r="M1617" s="42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27" t="s">
        <v>318</v>
      </c>
      <c r="Q1617" s="126" t="s">
        <v>318</v>
      </c>
      <c r="R1617">
        <v>131</v>
      </c>
      <c r="S1617" s="2">
        <v>39</v>
      </c>
      <c r="T1617" t="s">
        <v>295</v>
      </c>
      <c r="U1617" t="s">
        <v>300</v>
      </c>
      <c r="V1617" t="s">
        <v>298</v>
      </c>
      <c r="W1617" s="41"/>
      <c r="X1617" s="41"/>
      <c r="Y1617" s="34"/>
      <c r="Z1617" s="34"/>
      <c r="AA1617" s="35">
        <f>IF(TA[[#This Row],[Work Start time on Fault]]="NA","",(TA[[#This Row],[Fault Acknowledgement Time ]]-TA[[#This Row],[Fault Time]])*24)</f>
        <v>0</v>
      </c>
      <c r="AB1617" s="35">
        <f>(TA[[#This Row],[Work Start time on Fault]]-TA[[#This Row],[Fault Time]])*24</f>
        <v>0</v>
      </c>
      <c r="AC1617" s="34">
        <f>(TA[[#This Row],[Work Completion time on fault]]-TA[[#This Row],[Fault Time]])*24</f>
        <v>0</v>
      </c>
      <c r="AD1617" s="35">
        <f>IFERROR((TA[[#This Row],[Work Completion time on fault]]-TA[[#This Row],[Fault Time]])*24,"")</f>
        <v>0</v>
      </c>
      <c r="AE1617" t="s">
        <v>328</v>
      </c>
      <c r="AF1617" t="s">
        <v>256</v>
      </c>
      <c r="AG1617" s="2"/>
      <c r="AH1617" s="44">
        <f>1-COS(RADIANS(TA[[#This Row],[Avg. Target Angle during Fault Time (Radians)]]-TA[[#This Row],[Angle of affected equipment ]]))</f>
        <v>0.11705240714107301</v>
      </c>
      <c r="AI1617" s="35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56">
        <f t="shared" si="203"/>
        <v>2026</v>
      </c>
      <c r="C1618" s="129">
        <f t="shared" si="204"/>
        <v>2025</v>
      </c>
      <c r="D1618" s="2" t="s">
        <v>155</v>
      </c>
      <c r="E1618" s="2" t="s">
        <v>155</v>
      </c>
      <c r="F1618" s="39">
        <v>45839</v>
      </c>
      <c r="G1618" s="2">
        <f>DAY(EOMONTH(TA[[#This Row],[Month Year]],0))</f>
        <v>31</v>
      </c>
      <c r="H1618" s="21">
        <v>45861</v>
      </c>
      <c r="I1618" s="41">
        <f>IFERROR(VLOOKUP(TA[[#This Row],[Date]],Raw_Data[[Date]:[Sunset Time (POA&lt;20 W/m2)]],3,0),"")</f>
        <v>0.27152777777777776</v>
      </c>
      <c r="J1618" s="41">
        <f>IFERROR(VLOOKUP(TA[[#This Row],[Date]],Raw_Data[[Date]:[Sunset Time (POA&lt;20 W/m2)]],4,0),"")</f>
        <v>0.77361111111111114</v>
      </c>
      <c r="K1618" s="35">
        <f>IFERROR((TA[[#This Row],[Sunset Time (POA&lt;20 W/m2)]]-TA[[#This Row],[Sunrise Time (POA&gt;20 W/m2)]])*24,"")</f>
        <v>12.050000000000002</v>
      </c>
      <c r="L1618" s="2" t="s">
        <v>296</v>
      </c>
      <c r="M1618" s="42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27" t="s">
        <v>318</v>
      </c>
      <c r="Q1618" s="2" t="s">
        <v>321</v>
      </c>
      <c r="R1618">
        <v>133</v>
      </c>
      <c r="S1618" s="2">
        <v>26</v>
      </c>
      <c r="T1618" t="s">
        <v>297</v>
      </c>
      <c r="U1618" t="s">
        <v>300</v>
      </c>
      <c r="V1618" t="s">
        <v>314</v>
      </c>
      <c r="W1618" s="41">
        <f>IFERROR(VLOOKUP(TA[[#This Row],[Date]],Raw_Data[[Date]:[Sunset Time (POA&lt;20 W/m2)]],3,0),"")</f>
        <v>0.27152777777777776</v>
      </c>
      <c r="X1618" s="41">
        <f>IFERROR(VLOOKUP(TA[[#This Row],[Date]],Raw_Data[[Date]:[Sunset Time (POA&lt;20 W/m2)]],3,0),"")</f>
        <v>0.27152777777777776</v>
      </c>
      <c r="Y1618" s="34"/>
      <c r="Z1618" s="34">
        <v>0.76041666666666663</v>
      </c>
      <c r="AA1618" s="35">
        <f>IF(TA[[#This Row],[Work Start time on Fault]]="NA","",(TA[[#This Row],[Fault Acknowledgement Time ]]-TA[[#This Row],[Fault Time]])*24)</f>
        <v>0</v>
      </c>
      <c r="AB1618" s="35">
        <f>(TA[[#This Row],[Work Start time on Fault]]-TA[[#This Row],[Fault Time]])*24</f>
        <v>-6.5166666666666657</v>
      </c>
      <c r="AC1618" s="34">
        <f>(TA[[#This Row],[Work Completion time on fault]]-TA[[#This Row],[Fault Time]])*24</f>
        <v>11.733333333333333</v>
      </c>
      <c r="AD1618" s="35">
        <f>IFERROR((TA[[#This Row],[Work Completion time on fault]]-TA[[#This Row],[Fault Time]])*24,"")</f>
        <v>11.733333333333333</v>
      </c>
      <c r="AE1618" t="s">
        <v>328</v>
      </c>
      <c r="AF1618" t="s">
        <v>256</v>
      </c>
      <c r="AG1618" s="2"/>
      <c r="AH1618" s="44">
        <f>1-COS(RADIANS(TA[[#This Row],[Avg. Target Angle during Fault Time (Radians)]]-TA[[#This Row],[Angle of affected equipment ]]))</f>
        <v>0.11705240714107301</v>
      </c>
      <c r="AI1618" s="35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56">
        <f t="shared" si="203"/>
        <v>2026</v>
      </c>
      <c r="C1619" s="129">
        <f t="shared" si="204"/>
        <v>2025</v>
      </c>
      <c r="D1619" s="2" t="s">
        <v>155</v>
      </c>
      <c r="E1619" s="2" t="s">
        <v>155</v>
      </c>
      <c r="F1619" s="39">
        <v>45839</v>
      </c>
      <c r="G1619" s="2">
        <f>DAY(EOMONTH(TA[[#This Row],[Month Year]],0))</f>
        <v>31</v>
      </c>
      <c r="H1619" s="21">
        <v>45861</v>
      </c>
      <c r="I1619" s="41">
        <f>IFERROR(VLOOKUP(TA[[#This Row],[Date]],Raw_Data[[Date]:[Sunset Time (POA&lt;20 W/m2)]],3,0),"")</f>
        <v>0.27152777777777776</v>
      </c>
      <c r="J1619" s="41">
        <f>IFERROR(VLOOKUP(TA[[#This Row],[Date]],Raw_Data[[Date]:[Sunset Time (POA&lt;20 W/m2)]],4,0),"")</f>
        <v>0.77361111111111114</v>
      </c>
      <c r="K1619" s="35">
        <f>IFERROR((TA[[#This Row],[Sunset Time (POA&lt;20 W/m2)]]-TA[[#This Row],[Sunrise Time (POA&gt;20 W/m2)]])*24,"")</f>
        <v>12.050000000000002</v>
      </c>
      <c r="L1619" s="2" t="s">
        <v>294</v>
      </c>
      <c r="M1619" s="42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27" t="s">
        <v>316</v>
      </c>
      <c r="Q1619" s="126" t="s">
        <v>317</v>
      </c>
      <c r="R1619">
        <v>7</v>
      </c>
      <c r="S1619" s="2">
        <v>32</v>
      </c>
      <c r="T1619" t="s">
        <v>295</v>
      </c>
      <c r="U1619" t="s">
        <v>300</v>
      </c>
      <c r="V1619" t="s">
        <v>298</v>
      </c>
      <c r="W1619" s="41"/>
      <c r="X1619" s="41"/>
      <c r="Y1619" s="34"/>
      <c r="Z1619" s="34"/>
      <c r="AA1619" s="35">
        <f>IF(TA[[#This Row],[Work Start time on Fault]]="NA","",(TA[[#This Row],[Fault Acknowledgement Time ]]-TA[[#This Row],[Fault Time]])*24)</f>
        <v>0</v>
      </c>
      <c r="AB1619" s="35">
        <f>(TA[[#This Row],[Work Start time on Fault]]-TA[[#This Row],[Fault Time]])*24</f>
        <v>0</v>
      </c>
      <c r="AC1619" s="34">
        <f>(TA[[#This Row],[Work Completion time on fault]]-TA[[#This Row],[Fault Time]])*24</f>
        <v>0</v>
      </c>
      <c r="AD1619" s="35">
        <f>IFERROR((TA[[#This Row],[Work Completion time on fault]]-TA[[#This Row],[Fault Time]])*24,"")</f>
        <v>0</v>
      </c>
      <c r="AE1619" t="s">
        <v>328</v>
      </c>
      <c r="AF1619" t="s">
        <v>256</v>
      </c>
      <c r="AG1619" s="2"/>
      <c r="AH1619" s="44">
        <f>1-COS(RADIANS(TA[[#This Row],[Avg. Target Angle during Fault Time (Radians)]]-TA[[#This Row],[Angle of affected equipment ]]))</f>
        <v>0.11705240714107301</v>
      </c>
      <c r="AI1619" s="35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56">
        <f t="shared" si="203"/>
        <v>2026</v>
      </c>
      <c r="C1620" s="129">
        <f t="shared" si="204"/>
        <v>2025</v>
      </c>
      <c r="D1620" s="2" t="s">
        <v>155</v>
      </c>
      <c r="E1620" s="2" t="s">
        <v>155</v>
      </c>
      <c r="F1620" s="39">
        <v>45839</v>
      </c>
      <c r="G1620" s="2">
        <f>DAY(EOMONTH(TA[[#This Row],[Month Year]],0))</f>
        <v>31</v>
      </c>
      <c r="H1620" s="21">
        <v>45861</v>
      </c>
      <c r="I1620" s="41">
        <f>IFERROR(VLOOKUP(TA[[#This Row],[Date]],Raw_Data[[Date]:[Sunset Time (POA&lt;20 W/m2)]],3,0),"")</f>
        <v>0.27152777777777776</v>
      </c>
      <c r="J1620" s="41">
        <f>IFERROR(VLOOKUP(TA[[#This Row],[Date]],Raw_Data[[Date]:[Sunset Time (POA&lt;20 W/m2)]],4,0),"")</f>
        <v>0.77361111111111114</v>
      </c>
      <c r="K1620" s="35">
        <f>IFERROR((TA[[#This Row],[Sunset Time (POA&lt;20 W/m2)]]-TA[[#This Row],[Sunrise Time (POA&gt;20 W/m2)]])*24,"")</f>
        <v>12.050000000000002</v>
      </c>
      <c r="L1620" s="2" t="s">
        <v>294</v>
      </c>
      <c r="M1620" s="42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27" t="s">
        <v>315</v>
      </c>
      <c r="Q1620" s="126" t="s">
        <v>319</v>
      </c>
      <c r="R1620">
        <v>166</v>
      </c>
      <c r="S1620" s="2">
        <v>91</v>
      </c>
      <c r="T1620" t="s">
        <v>295</v>
      </c>
      <c r="U1620" t="s">
        <v>300</v>
      </c>
      <c r="V1620" t="s">
        <v>298</v>
      </c>
      <c r="W1620" s="41"/>
      <c r="X1620" s="41"/>
      <c r="Y1620" s="34"/>
      <c r="Z1620" s="34"/>
      <c r="AA1620" s="35">
        <f>IF(TA[[#This Row],[Work Start time on Fault]]="NA","",(TA[[#This Row],[Fault Acknowledgement Time ]]-TA[[#This Row],[Fault Time]])*24)</f>
        <v>0</v>
      </c>
      <c r="AB1620" s="35">
        <f>(TA[[#This Row],[Work Start time on Fault]]-TA[[#This Row],[Fault Time]])*24</f>
        <v>0</v>
      </c>
      <c r="AC1620" s="34">
        <f>(TA[[#This Row],[Work Completion time on fault]]-TA[[#This Row],[Fault Time]])*24</f>
        <v>0</v>
      </c>
      <c r="AD1620" s="35">
        <f>IFERROR((TA[[#This Row],[Work Completion time on fault]]-TA[[#This Row],[Fault Time]])*24,"")</f>
        <v>0</v>
      </c>
      <c r="AE1620" t="s">
        <v>328</v>
      </c>
      <c r="AF1620" t="s">
        <v>256</v>
      </c>
      <c r="AG1620" s="2"/>
      <c r="AH1620" s="44">
        <f>1-COS(RADIANS(TA[[#This Row],[Avg. Target Angle during Fault Time (Radians)]]-TA[[#This Row],[Angle of affected equipment ]]))</f>
        <v>0.11705240714107301</v>
      </c>
      <c r="AI1620" s="35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56">
        <f t="shared" si="203"/>
        <v>2026</v>
      </c>
      <c r="C1621" s="129">
        <f t="shared" si="204"/>
        <v>2025</v>
      </c>
      <c r="D1621" s="2" t="s">
        <v>155</v>
      </c>
      <c r="E1621" s="2" t="s">
        <v>155</v>
      </c>
      <c r="F1621" s="39">
        <v>45839</v>
      </c>
      <c r="G1621" s="2">
        <f>DAY(EOMONTH(TA[[#This Row],[Month Year]],0))</f>
        <v>31</v>
      </c>
      <c r="H1621" s="21">
        <v>45861</v>
      </c>
      <c r="I1621" s="41">
        <f>IFERROR(VLOOKUP(TA[[#This Row],[Date]],Raw_Data[[Date]:[Sunset Time (POA&lt;20 W/m2)]],3,0),"")</f>
        <v>0.27152777777777776</v>
      </c>
      <c r="J1621" s="41">
        <f>IFERROR(VLOOKUP(TA[[#This Row],[Date]],Raw_Data[[Date]:[Sunset Time (POA&lt;20 W/m2)]],4,0),"")</f>
        <v>0.77361111111111114</v>
      </c>
      <c r="K1621" s="35">
        <f>IFERROR((TA[[#This Row],[Sunset Time (POA&lt;20 W/m2)]]-TA[[#This Row],[Sunrise Time (POA&gt;20 W/m2)]])*24,"")</f>
        <v>12.050000000000002</v>
      </c>
      <c r="L1621" s="2" t="s">
        <v>294</v>
      </c>
      <c r="M1621" s="42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27" t="s">
        <v>316</v>
      </c>
      <c r="Q1621" s="126" t="s">
        <v>316</v>
      </c>
      <c r="R1621">
        <v>117</v>
      </c>
      <c r="S1621" s="2">
        <v>20</v>
      </c>
      <c r="T1621" t="s">
        <v>295</v>
      </c>
      <c r="U1621" t="s">
        <v>300</v>
      </c>
      <c r="V1621" t="s">
        <v>298</v>
      </c>
      <c r="W1621" s="41"/>
      <c r="X1621" s="41"/>
      <c r="Y1621" s="34"/>
      <c r="Z1621" s="34"/>
      <c r="AA1621" s="35">
        <f>IF(TA[[#This Row],[Work Start time on Fault]]="NA","",(TA[[#This Row],[Fault Acknowledgement Time ]]-TA[[#This Row],[Fault Time]])*24)</f>
        <v>0</v>
      </c>
      <c r="AB1621" s="35">
        <f>(TA[[#This Row],[Work Start time on Fault]]-TA[[#This Row],[Fault Time]])*24</f>
        <v>0</v>
      </c>
      <c r="AC1621" s="34">
        <f>(TA[[#This Row],[Work Completion time on fault]]-TA[[#This Row],[Fault Time]])*24</f>
        <v>0</v>
      </c>
      <c r="AD1621" s="35">
        <f>IFERROR((TA[[#This Row],[Work Completion time on fault]]-TA[[#This Row],[Fault Time]])*24,"")</f>
        <v>0</v>
      </c>
      <c r="AE1621" t="s">
        <v>328</v>
      </c>
      <c r="AF1621" t="s">
        <v>256</v>
      </c>
      <c r="AG1621" s="2"/>
      <c r="AH1621" s="44">
        <f>1-COS(RADIANS(TA[[#This Row],[Avg. Target Angle during Fault Time (Radians)]]-TA[[#This Row],[Angle of affected equipment ]]))</f>
        <v>0.11705240714107301</v>
      </c>
      <c r="AI1621" s="35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56">
        <f t="shared" si="203"/>
        <v>2026</v>
      </c>
      <c r="C1622" s="129">
        <f t="shared" si="204"/>
        <v>2025</v>
      </c>
      <c r="D1622" s="2" t="s">
        <v>155</v>
      </c>
      <c r="E1622" s="2" t="s">
        <v>155</v>
      </c>
      <c r="F1622" s="39">
        <v>45839</v>
      </c>
      <c r="G1622" s="2">
        <f>DAY(EOMONTH(TA[[#This Row],[Month Year]],0))</f>
        <v>31</v>
      </c>
      <c r="H1622" s="21">
        <v>45861</v>
      </c>
      <c r="I1622" s="41">
        <f>IFERROR(VLOOKUP(TA[[#This Row],[Date]],Raw_Data[[Date]:[Sunset Time (POA&lt;20 W/m2)]],3,0),"")</f>
        <v>0.27152777777777776</v>
      </c>
      <c r="J1622" s="41">
        <f>IFERROR(VLOOKUP(TA[[#This Row],[Date]],Raw_Data[[Date]:[Sunset Time (POA&lt;20 W/m2)]],4,0),"")</f>
        <v>0.77361111111111114</v>
      </c>
      <c r="K1622" s="35">
        <f>IFERROR((TA[[#This Row],[Sunset Time (POA&lt;20 W/m2)]]-TA[[#This Row],[Sunrise Time (POA&gt;20 W/m2)]])*24,"")</f>
        <v>12.050000000000002</v>
      </c>
      <c r="L1622" s="2" t="s">
        <v>294</v>
      </c>
      <c r="M1622" s="42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27" t="s">
        <v>316</v>
      </c>
      <c r="Q1622" s="126" t="s">
        <v>316</v>
      </c>
      <c r="R1622">
        <v>118</v>
      </c>
      <c r="S1622" s="2">
        <v>22</v>
      </c>
      <c r="T1622" t="s">
        <v>295</v>
      </c>
      <c r="U1622" t="s">
        <v>300</v>
      </c>
      <c r="V1622" t="s">
        <v>298</v>
      </c>
      <c r="W1622" s="41"/>
      <c r="X1622" s="41"/>
      <c r="Y1622" s="34"/>
      <c r="Z1622" s="34"/>
      <c r="AA1622" s="35">
        <f>IF(TA[[#This Row],[Work Start time on Fault]]="NA","",(TA[[#This Row],[Fault Acknowledgement Time ]]-TA[[#This Row],[Fault Time]])*24)</f>
        <v>0</v>
      </c>
      <c r="AB1622" s="35">
        <f>(TA[[#This Row],[Work Start time on Fault]]-TA[[#This Row],[Fault Time]])*24</f>
        <v>0</v>
      </c>
      <c r="AC1622" s="34">
        <f>(TA[[#This Row],[Work Completion time on fault]]-TA[[#This Row],[Fault Time]])*24</f>
        <v>0</v>
      </c>
      <c r="AD1622" s="35">
        <f>IFERROR((TA[[#This Row],[Work Completion time on fault]]-TA[[#This Row],[Fault Time]])*24,"")</f>
        <v>0</v>
      </c>
      <c r="AE1622" t="s">
        <v>328</v>
      </c>
      <c r="AF1622" t="s">
        <v>256</v>
      </c>
      <c r="AG1622" s="2"/>
      <c r="AH1622" s="44">
        <f>1-COS(RADIANS(TA[[#This Row],[Avg. Target Angle during Fault Time (Radians)]]-TA[[#This Row],[Angle of affected equipment ]]))</f>
        <v>0.11705240714107301</v>
      </c>
      <c r="AI1622" s="35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56">
        <f t="shared" si="203"/>
        <v>2026</v>
      </c>
      <c r="C1623" s="129">
        <f t="shared" si="204"/>
        <v>2025</v>
      </c>
      <c r="D1623" s="2" t="s">
        <v>155</v>
      </c>
      <c r="E1623" s="2" t="s">
        <v>155</v>
      </c>
      <c r="F1623" s="39">
        <v>45839</v>
      </c>
      <c r="G1623" s="2">
        <f>DAY(EOMONTH(TA[[#This Row],[Month Year]],0))</f>
        <v>31</v>
      </c>
      <c r="H1623" s="21">
        <v>45861</v>
      </c>
      <c r="I1623" s="41">
        <f>IFERROR(VLOOKUP(TA[[#This Row],[Date]],Raw_Data[[Date]:[Sunset Time (POA&lt;20 W/m2)]],3,0),"")</f>
        <v>0.27152777777777776</v>
      </c>
      <c r="J1623" s="41">
        <f>IFERROR(VLOOKUP(TA[[#This Row],[Date]],Raw_Data[[Date]:[Sunset Time (POA&lt;20 W/m2)]],4,0),"")</f>
        <v>0.77361111111111114</v>
      </c>
      <c r="K1623" s="35">
        <f>IFERROR((TA[[#This Row],[Sunset Time (POA&lt;20 W/m2)]]-TA[[#This Row],[Sunrise Time (POA&gt;20 W/m2)]])*24,"")</f>
        <v>12.050000000000002</v>
      </c>
      <c r="L1623" s="2" t="s">
        <v>296</v>
      </c>
      <c r="M1623" s="42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323</v>
      </c>
      <c r="Q1623" s="2" t="s">
        <v>329</v>
      </c>
      <c r="R1623">
        <v>45</v>
      </c>
      <c r="S1623" s="2">
        <v>8</v>
      </c>
      <c r="T1623" t="s">
        <v>297</v>
      </c>
      <c r="U1623" t="s">
        <v>300</v>
      </c>
      <c r="V1623" t="s">
        <v>301</v>
      </c>
      <c r="W1623" s="41"/>
      <c r="X1623" s="41"/>
      <c r="Y1623" s="34"/>
      <c r="Z1623" s="34"/>
      <c r="AA1623" s="35">
        <f>IF(TA[[#This Row],[Work Start time on Fault]]="NA","",(TA[[#This Row],[Fault Acknowledgement Time ]]-TA[[#This Row],[Fault Time]])*24)</f>
        <v>0</v>
      </c>
      <c r="AB1623" s="35">
        <f>(TA[[#This Row],[Work Start time on Fault]]-TA[[#This Row],[Fault Time]])*24</f>
        <v>0</v>
      </c>
      <c r="AC1623" s="34">
        <f>(TA[[#This Row],[Work Completion time on fault]]-TA[[#This Row],[Fault Time]])*24</f>
        <v>0</v>
      </c>
      <c r="AD1623" s="35">
        <f>IFERROR((TA[[#This Row],[Work Completion time on fault]]-TA[[#This Row],[Fault Time]])*24,"")</f>
        <v>0</v>
      </c>
      <c r="AE1623" t="s">
        <v>328</v>
      </c>
      <c r="AF1623" t="s">
        <v>256</v>
      </c>
      <c r="AG1623" s="2"/>
      <c r="AH1623" s="44">
        <f>1-COS(RADIANS(TA[[#This Row],[Avg. Target Angle during Fault Time (Radians)]]-TA[[#This Row],[Angle of affected equipment ]]))</f>
        <v>0.11705240714107301</v>
      </c>
      <c r="AI1623" s="35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56">
        <f t="shared" si="203"/>
        <v>2026</v>
      </c>
      <c r="C1624" s="129">
        <f t="shared" si="204"/>
        <v>2025</v>
      </c>
      <c r="D1624" s="2" t="s">
        <v>155</v>
      </c>
      <c r="E1624" s="2" t="s">
        <v>155</v>
      </c>
      <c r="F1624" s="39">
        <v>45839</v>
      </c>
      <c r="G1624" s="2">
        <f>DAY(EOMONTH(TA[[#This Row],[Month Year]],0))</f>
        <v>31</v>
      </c>
      <c r="H1624" s="21">
        <v>45861</v>
      </c>
      <c r="I1624" s="41">
        <f>IFERROR(VLOOKUP(TA[[#This Row],[Date]],Raw_Data[[Date]:[Sunset Time (POA&lt;20 W/m2)]],3,0),"")</f>
        <v>0.27152777777777776</v>
      </c>
      <c r="J1624" s="41">
        <f>IFERROR(VLOOKUP(TA[[#This Row],[Date]],Raw_Data[[Date]:[Sunset Time (POA&lt;20 W/m2)]],4,0),"")</f>
        <v>0.77361111111111114</v>
      </c>
      <c r="K1624" s="35">
        <f>IFERROR((TA[[#This Row],[Sunset Time (POA&lt;20 W/m2)]]-TA[[#This Row],[Sunrise Time (POA&gt;20 W/m2)]])*24,"")</f>
        <v>12.050000000000002</v>
      </c>
      <c r="L1624" s="2" t="s">
        <v>296</v>
      </c>
      <c r="M1624" s="42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323</v>
      </c>
      <c r="Q1624" s="2" t="s">
        <v>329</v>
      </c>
      <c r="R1624">
        <v>47</v>
      </c>
      <c r="S1624" s="2">
        <v>18</v>
      </c>
      <c r="T1624" t="s">
        <v>297</v>
      </c>
      <c r="U1624" t="s">
        <v>300</v>
      </c>
      <c r="V1624" t="s">
        <v>301</v>
      </c>
      <c r="W1624" s="41"/>
      <c r="X1624" s="41"/>
      <c r="Y1624" s="34"/>
      <c r="Z1624" s="34"/>
      <c r="AA1624" s="35">
        <f>IF(TA[[#This Row],[Work Start time on Fault]]="NA","",(TA[[#This Row],[Fault Acknowledgement Time ]]-TA[[#This Row],[Fault Time]])*24)</f>
        <v>0</v>
      </c>
      <c r="AB1624" s="35">
        <f>(TA[[#This Row],[Work Start time on Fault]]-TA[[#This Row],[Fault Time]])*24</f>
        <v>0</v>
      </c>
      <c r="AC1624" s="34">
        <f>(TA[[#This Row],[Work Completion time on fault]]-TA[[#This Row],[Fault Time]])*24</f>
        <v>0</v>
      </c>
      <c r="AD1624" s="35">
        <f>IFERROR((TA[[#This Row],[Work Completion time on fault]]-TA[[#This Row],[Fault Time]])*24,"")</f>
        <v>0</v>
      </c>
      <c r="AE1624" t="s">
        <v>328</v>
      </c>
      <c r="AF1624" t="s">
        <v>256</v>
      </c>
      <c r="AG1624" s="2"/>
      <c r="AH1624" s="44">
        <f>1-COS(RADIANS(TA[[#This Row],[Avg. Target Angle during Fault Time (Radians)]]-TA[[#This Row],[Angle of affected equipment ]]))</f>
        <v>0.11705240714107301</v>
      </c>
      <c r="AI1624" s="35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56">
        <f t="shared" si="203"/>
        <v>2026</v>
      </c>
      <c r="C1625" s="129">
        <f t="shared" si="204"/>
        <v>2025</v>
      </c>
      <c r="D1625" s="2" t="s">
        <v>155</v>
      </c>
      <c r="E1625" s="2" t="s">
        <v>155</v>
      </c>
      <c r="F1625" s="39">
        <v>45839</v>
      </c>
      <c r="G1625" s="2">
        <f>DAY(EOMONTH(TA[[#This Row],[Month Year]],0))</f>
        <v>31</v>
      </c>
      <c r="H1625" s="21">
        <v>45861</v>
      </c>
      <c r="I1625" s="41">
        <f>IFERROR(VLOOKUP(TA[[#This Row],[Date]],Raw_Data[[Date]:[Sunset Time (POA&lt;20 W/m2)]],3,0),"")</f>
        <v>0.27152777777777776</v>
      </c>
      <c r="J1625" s="41">
        <f>IFERROR(VLOOKUP(TA[[#This Row],[Date]],Raw_Data[[Date]:[Sunset Time (POA&lt;20 W/m2)]],4,0),"")</f>
        <v>0.77361111111111114</v>
      </c>
      <c r="K1625" s="35">
        <f>IFERROR((TA[[#This Row],[Sunset Time (POA&lt;20 W/m2)]]-TA[[#This Row],[Sunrise Time (POA&gt;20 W/m2)]])*24,"")</f>
        <v>12.050000000000002</v>
      </c>
      <c r="L1625" s="2" t="s">
        <v>296</v>
      </c>
      <c r="M1625" s="42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330</v>
      </c>
      <c r="Q1625" s="2" t="s">
        <v>323</v>
      </c>
      <c r="R1625">
        <v>30</v>
      </c>
      <c r="S1625" s="2">
        <v>57</v>
      </c>
      <c r="T1625" t="s">
        <v>297</v>
      </c>
      <c r="U1625" t="s">
        <v>300</v>
      </c>
      <c r="V1625" t="s">
        <v>301</v>
      </c>
      <c r="W1625" s="41"/>
      <c r="X1625" s="41"/>
      <c r="Y1625" s="34"/>
      <c r="Z1625" s="34"/>
      <c r="AA1625" s="35">
        <f>IF(TA[[#This Row],[Work Start time on Fault]]="NA","",(TA[[#This Row],[Fault Acknowledgement Time ]]-TA[[#This Row],[Fault Time]])*24)</f>
        <v>0</v>
      </c>
      <c r="AB1625" s="35">
        <f>(TA[[#This Row],[Work Start time on Fault]]-TA[[#This Row],[Fault Time]])*24</f>
        <v>0</v>
      </c>
      <c r="AC1625" s="34">
        <f>(TA[[#This Row],[Work Completion time on fault]]-TA[[#This Row],[Fault Time]])*24</f>
        <v>0</v>
      </c>
      <c r="AD1625" s="35">
        <f>IFERROR((TA[[#This Row],[Work Completion time on fault]]-TA[[#This Row],[Fault Time]])*24,"")</f>
        <v>0</v>
      </c>
      <c r="AE1625" t="s">
        <v>328</v>
      </c>
      <c r="AF1625" t="s">
        <v>256</v>
      </c>
      <c r="AG1625" s="2"/>
      <c r="AH1625" s="44">
        <f>1-COS(RADIANS(TA[[#This Row],[Avg. Target Angle during Fault Time (Radians)]]-TA[[#This Row],[Angle of affected equipment ]]))</f>
        <v>0.11705240714107301</v>
      </c>
      <c r="AI1625" s="35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56">
        <f t="shared" si="203"/>
        <v>2026</v>
      </c>
      <c r="C1626" s="129">
        <f t="shared" si="204"/>
        <v>2025</v>
      </c>
      <c r="D1626" s="2" t="s">
        <v>155</v>
      </c>
      <c r="E1626" s="2" t="s">
        <v>155</v>
      </c>
      <c r="F1626" s="39">
        <v>45839</v>
      </c>
      <c r="G1626" s="2">
        <f>DAY(EOMONTH(TA[[#This Row],[Month Year]],0))</f>
        <v>31</v>
      </c>
      <c r="H1626" s="21">
        <v>45861</v>
      </c>
      <c r="I1626" s="41">
        <f>IFERROR(VLOOKUP(TA[[#This Row],[Date]],Raw_Data[[Date]:[Sunset Time (POA&lt;20 W/m2)]],3,0),"")</f>
        <v>0.27152777777777776</v>
      </c>
      <c r="J1626" s="41">
        <f>IFERROR(VLOOKUP(TA[[#This Row],[Date]],Raw_Data[[Date]:[Sunset Time (POA&lt;20 W/m2)]],4,0),"")</f>
        <v>0.77361111111111114</v>
      </c>
      <c r="K1626" s="35">
        <f>IFERROR((TA[[#This Row],[Sunset Time (POA&lt;20 W/m2)]]-TA[[#This Row],[Sunrise Time (POA&gt;20 W/m2)]])*24,"")</f>
        <v>12.050000000000002</v>
      </c>
      <c r="L1626" s="2" t="s">
        <v>296</v>
      </c>
      <c r="M1626" s="42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330</v>
      </c>
      <c r="Q1626" s="2" t="s">
        <v>323</v>
      </c>
      <c r="R1626">
        <v>31</v>
      </c>
      <c r="S1626" s="2">
        <v>61</v>
      </c>
      <c r="T1626" t="s">
        <v>297</v>
      </c>
      <c r="U1626" t="s">
        <v>300</v>
      </c>
      <c r="V1626" t="s">
        <v>301</v>
      </c>
      <c r="W1626" s="41"/>
      <c r="X1626" s="41"/>
      <c r="Y1626" s="34"/>
      <c r="Z1626" s="34"/>
      <c r="AA1626" s="35">
        <f>IF(TA[[#This Row],[Work Start time on Fault]]="NA","",(TA[[#This Row],[Fault Acknowledgement Time ]]-TA[[#This Row],[Fault Time]])*24)</f>
        <v>0</v>
      </c>
      <c r="AB1626" s="35">
        <f>(TA[[#This Row],[Work Start time on Fault]]-TA[[#This Row],[Fault Time]])*24</f>
        <v>0</v>
      </c>
      <c r="AC1626" s="34">
        <f>(TA[[#This Row],[Work Completion time on fault]]-TA[[#This Row],[Fault Time]])*24</f>
        <v>0</v>
      </c>
      <c r="AD1626" s="35">
        <f>IFERROR((TA[[#This Row],[Work Completion time on fault]]-TA[[#This Row],[Fault Time]])*24,"")</f>
        <v>0</v>
      </c>
      <c r="AE1626" t="s">
        <v>328</v>
      </c>
      <c r="AF1626" t="s">
        <v>256</v>
      </c>
      <c r="AG1626" s="2"/>
      <c r="AH1626" s="44">
        <f>1-COS(RADIANS(TA[[#This Row],[Avg. Target Angle during Fault Time (Radians)]]-TA[[#This Row],[Angle of affected equipment ]]))</f>
        <v>0.11705240714107301</v>
      </c>
      <c r="AI1626" s="35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56">
        <f t="shared" si="203"/>
        <v>2026</v>
      </c>
      <c r="C1627" s="129">
        <f t="shared" si="204"/>
        <v>2025</v>
      </c>
      <c r="D1627" s="2" t="s">
        <v>155</v>
      </c>
      <c r="E1627" s="2" t="s">
        <v>155</v>
      </c>
      <c r="F1627" s="39">
        <v>45839</v>
      </c>
      <c r="G1627" s="2">
        <f>DAY(EOMONTH(TA[[#This Row],[Month Year]],0))</f>
        <v>31</v>
      </c>
      <c r="H1627" s="21">
        <v>45861</v>
      </c>
      <c r="I1627" s="41">
        <f>IFERROR(VLOOKUP(TA[[#This Row],[Date]],Raw_Data[[Date]:[Sunset Time (POA&lt;20 W/m2)]],3,0),"")</f>
        <v>0.27152777777777776</v>
      </c>
      <c r="J1627" s="41">
        <f>IFERROR(VLOOKUP(TA[[#This Row],[Date]],Raw_Data[[Date]:[Sunset Time (POA&lt;20 W/m2)]],4,0),"")</f>
        <v>0.77361111111111114</v>
      </c>
      <c r="K1627" s="35">
        <f>IFERROR((TA[[#This Row],[Sunset Time (POA&lt;20 W/m2)]]-TA[[#This Row],[Sunrise Time (POA&gt;20 W/m2)]])*24,"")</f>
        <v>12.050000000000002</v>
      </c>
      <c r="L1627" s="2" t="s">
        <v>312</v>
      </c>
      <c r="M1627" s="42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330</v>
      </c>
      <c r="Q1627" s="2" t="s">
        <v>323</v>
      </c>
      <c r="R1627">
        <v>26</v>
      </c>
      <c r="S1627" s="2">
        <v>37</v>
      </c>
      <c r="T1627" t="s">
        <v>297</v>
      </c>
      <c r="U1627" t="s">
        <v>300</v>
      </c>
      <c r="V1627" t="s">
        <v>301</v>
      </c>
      <c r="W1627" s="41"/>
      <c r="X1627" s="41"/>
      <c r="Y1627" s="34"/>
      <c r="Z1627" s="34"/>
      <c r="AA1627" s="35">
        <f>IF(TA[[#This Row],[Work Start time on Fault]]="NA","",(TA[[#This Row],[Fault Acknowledgement Time ]]-TA[[#This Row],[Fault Time]])*24)</f>
        <v>0</v>
      </c>
      <c r="AB1627" s="35">
        <f>(TA[[#This Row],[Work Start time on Fault]]-TA[[#This Row],[Fault Time]])*24</f>
        <v>0</v>
      </c>
      <c r="AC1627" s="34">
        <f>(TA[[#This Row],[Work Completion time on fault]]-TA[[#This Row],[Fault Time]])*24</f>
        <v>0</v>
      </c>
      <c r="AD1627" s="35">
        <f>IFERROR((TA[[#This Row],[Work Completion time on fault]]-TA[[#This Row],[Fault Time]])*24,"")</f>
        <v>0</v>
      </c>
      <c r="AE1627" t="s">
        <v>328</v>
      </c>
      <c r="AF1627" t="s">
        <v>256</v>
      </c>
      <c r="AG1627" s="2"/>
      <c r="AH1627" s="44">
        <f>1-COS(RADIANS(TA[[#This Row],[Avg. Target Angle during Fault Time (Radians)]]-TA[[#This Row],[Angle of affected equipment ]]))</f>
        <v>0.11705240714107301</v>
      </c>
      <c r="AI1627" s="35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56">
        <f t="shared" si="203"/>
        <v>2026</v>
      </c>
      <c r="C1628" s="129">
        <f t="shared" si="204"/>
        <v>2025</v>
      </c>
      <c r="D1628" s="2" t="s">
        <v>155</v>
      </c>
      <c r="E1628" s="2" t="s">
        <v>155</v>
      </c>
      <c r="F1628" s="39">
        <v>45839</v>
      </c>
      <c r="G1628" s="2">
        <f>DAY(EOMONTH(TA[[#This Row],[Month Year]],0))</f>
        <v>31</v>
      </c>
      <c r="H1628" s="21">
        <v>45861</v>
      </c>
      <c r="I1628" s="41">
        <f>IFERROR(VLOOKUP(TA[[#This Row],[Date]],Raw_Data[[Date]:[Sunset Time (POA&lt;20 W/m2)]],3,0),"")</f>
        <v>0.27152777777777776</v>
      </c>
      <c r="J1628" s="41">
        <f>IFERROR(VLOOKUP(TA[[#This Row],[Date]],Raw_Data[[Date]:[Sunset Time (POA&lt;20 W/m2)]],4,0),"")</f>
        <v>0.77361111111111114</v>
      </c>
      <c r="K1628" s="35">
        <f>IFERROR((TA[[#This Row],[Sunset Time (POA&lt;20 W/m2)]]-TA[[#This Row],[Sunrise Time (POA&gt;20 W/m2)]])*24,"")</f>
        <v>12.050000000000002</v>
      </c>
      <c r="L1628" s="2" t="s">
        <v>312</v>
      </c>
      <c r="M1628" s="42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330</v>
      </c>
      <c r="Q1628" s="2" t="s">
        <v>323</v>
      </c>
      <c r="R1628">
        <v>27</v>
      </c>
      <c r="S1628" s="2">
        <v>42</v>
      </c>
      <c r="T1628" t="s">
        <v>297</v>
      </c>
      <c r="U1628" t="s">
        <v>300</v>
      </c>
      <c r="V1628" t="s">
        <v>301</v>
      </c>
      <c r="W1628" s="41">
        <f>IFERROR(VLOOKUP(TA[[#This Row],[Date]],Raw_Data[[Date]:[Sunset Time (POA&lt;20 W/m2)]],3,0),"")</f>
        <v>0.27152777777777776</v>
      </c>
      <c r="X1628" s="41">
        <f>IFERROR(VLOOKUP(TA[[#This Row],[Date]],Raw_Data[[Date]:[Sunset Time (POA&lt;20 W/m2)]],3,0),"")</f>
        <v>0.27152777777777776</v>
      </c>
      <c r="Y1628" s="34"/>
      <c r="Z1628" s="34">
        <v>0.76041666666666663</v>
      </c>
      <c r="AA1628" s="35">
        <f>IF(TA[[#This Row],[Work Start time on Fault]]="NA","",(TA[[#This Row],[Fault Acknowledgement Time ]]-TA[[#This Row],[Fault Time]])*24)</f>
        <v>0</v>
      </c>
      <c r="AB1628" s="35">
        <f>(TA[[#This Row],[Work Start time on Fault]]-TA[[#This Row],[Fault Time]])*24</f>
        <v>-6.5166666666666657</v>
      </c>
      <c r="AC1628" s="34">
        <f>(TA[[#This Row],[Work Completion time on fault]]-TA[[#This Row],[Fault Time]])*24</f>
        <v>11.733333333333333</v>
      </c>
      <c r="AD1628" s="35">
        <f>IFERROR((TA[[#This Row],[Work Completion time on fault]]-TA[[#This Row],[Fault Time]])*24,"")</f>
        <v>11.733333333333333</v>
      </c>
      <c r="AE1628" t="s">
        <v>309</v>
      </c>
      <c r="AF1628" t="s">
        <v>256</v>
      </c>
      <c r="AG1628" s="2"/>
      <c r="AH1628" s="44">
        <f>1-COS(RADIANS(TA[[#This Row],[Avg. Target Angle during Fault Time (Radians)]]-TA[[#This Row],[Angle of affected equipment ]]))</f>
        <v>0.11705240714107301</v>
      </c>
      <c r="AI1628" s="35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56">
        <f t="shared" ref="B1629:B1641" si="205">YEAR(H1629)+IF(MONTH(H1629)&gt;=4,1,0)</f>
        <v>2026</v>
      </c>
      <c r="C1629" s="129">
        <f t="shared" ref="C1629:C1641" si="206">YEAR(H1629)</f>
        <v>2025</v>
      </c>
      <c r="D1629" s="2" t="s">
        <v>155</v>
      </c>
      <c r="E1629" s="2" t="s">
        <v>155</v>
      </c>
      <c r="F1629" s="39">
        <v>45839</v>
      </c>
      <c r="G1629" s="2">
        <f>DAY(EOMONTH(TA[[#This Row],[Month Year]],0))</f>
        <v>31</v>
      </c>
      <c r="H1629" s="21">
        <v>45862</v>
      </c>
      <c r="I1629" s="41">
        <f>IFERROR(VLOOKUP(TA[[#This Row],[Date]],Raw_Data[[Date]:[Sunset Time (POA&lt;20 W/m2)]],3,0),"")</f>
        <v>0.26319444444444445</v>
      </c>
      <c r="J1629" s="41">
        <f>IFERROR(VLOOKUP(TA[[#This Row],[Date]],Raw_Data[[Date]:[Sunset Time (POA&lt;20 W/m2)]],4,0),"")</f>
        <v>0.77083333333333337</v>
      </c>
      <c r="K1629" s="35">
        <f>IFERROR((TA[[#This Row],[Sunset Time (POA&lt;20 W/m2)]]-TA[[#This Row],[Sunrise Time (POA&gt;20 W/m2)]])*24,"")</f>
        <v>12.183333333333335</v>
      </c>
      <c r="L1629" s="2" t="s">
        <v>294</v>
      </c>
      <c r="M1629" s="42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27" t="s">
        <v>318</v>
      </c>
      <c r="Q1629" s="126" t="s">
        <v>318</v>
      </c>
      <c r="R1629">
        <v>131</v>
      </c>
      <c r="S1629" s="2">
        <v>38</v>
      </c>
      <c r="T1629" t="s">
        <v>295</v>
      </c>
      <c r="U1629" t="s">
        <v>300</v>
      </c>
      <c r="V1629" t="s">
        <v>298</v>
      </c>
      <c r="W1629" s="41"/>
      <c r="X1629" s="41"/>
      <c r="Y1629" s="34"/>
      <c r="Z1629" s="34"/>
      <c r="AA1629" s="35">
        <f>IF(TA[[#This Row],[Work Start time on Fault]]="NA","",(TA[[#This Row],[Fault Acknowledgement Time ]]-TA[[#This Row],[Fault Time]])*24)</f>
        <v>0</v>
      </c>
      <c r="AB1629" s="35">
        <f>(TA[[#This Row],[Work Start time on Fault]]-TA[[#This Row],[Fault Time]])*24</f>
        <v>0</v>
      </c>
      <c r="AC1629" s="34">
        <f>(TA[[#This Row],[Work Completion time on fault]]-TA[[#This Row],[Fault Time]])*24</f>
        <v>0</v>
      </c>
      <c r="AD1629" s="35">
        <f>IFERROR((TA[[#This Row],[Work Completion time on fault]]-TA[[#This Row],[Fault Time]])*24,"")</f>
        <v>0</v>
      </c>
      <c r="AE1629" t="s">
        <v>328</v>
      </c>
      <c r="AF1629" t="s">
        <v>256</v>
      </c>
      <c r="AG1629" s="2"/>
      <c r="AH1629" s="44">
        <f>1-COS(RADIANS(TA[[#This Row],[Avg. Target Angle during Fault Time (Radians)]]-TA[[#This Row],[Angle of affected equipment ]]))</f>
        <v>0.11705240714107301</v>
      </c>
      <c r="AI1629" s="35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56">
        <f t="shared" si="205"/>
        <v>2026</v>
      </c>
      <c r="C1630" s="129">
        <f t="shared" si="206"/>
        <v>2025</v>
      </c>
      <c r="D1630" s="2" t="s">
        <v>155</v>
      </c>
      <c r="E1630" s="2" t="s">
        <v>155</v>
      </c>
      <c r="F1630" s="39">
        <v>45839</v>
      </c>
      <c r="G1630" s="2">
        <f>DAY(EOMONTH(TA[[#This Row],[Month Year]],0))</f>
        <v>31</v>
      </c>
      <c r="H1630" s="21">
        <v>45862</v>
      </c>
      <c r="I1630" s="41">
        <f>IFERROR(VLOOKUP(TA[[#This Row],[Date]],Raw_Data[[Date]:[Sunset Time (POA&lt;20 W/m2)]],3,0),"")</f>
        <v>0.26319444444444445</v>
      </c>
      <c r="J1630" s="41">
        <f>IFERROR(VLOOKUP(TA[[#This Row],[Date]],Raw_Data[[Date]:[Sunset Time (POA&lt;20 W/m2)]],4,0),"")</f>
        <v>0.77083333333333337</v>
      </c>
      <c r="K1630" s="35">
        <f>IFERROR((TA[[#This Row],[Sunset Time (POA&lt;20 W/m2)]]-TA[[#This Row],[Sunrise Time (POA&gt;20 W/m2)]])*24,"")</f>
        <v>12.183333333333335</v>
      </c>
      <c r="L1630" s="2" t="s">
        <v>294</v>
      </c>
      <c r="M1630" s="42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27" t="s">
        <v>318</v>
      </c>
      <c r="Q1630" s="126" t="s">
        <v>318</v>
      </c>
      <c r="R1630">
        <v>131</v>
      </c>
      <c r="S1630" s="2">
        <v>39</v>
      </c>
      <c r="T1630" t="s">
        <v>295</v>
      </c>
      <c r="U1630" t="s">
        <v>300</v>
      </c>
      <c r="V1630" t="s">
        <v>298</v>
      </c>
      <c r="W1630" s="41"/>
      <c r="X1630" s="41"/>
      <c r="Y1630" s="34"/>
      <c r="Z1630" s="34"/>
      <c r="AA1630" s="35">
        <f>IF(TA[[#This Row],[Work Start time on Fault]]="NA","",(TA[[#This Row],[Fault Acknowledgement Time ]]-TA[[#This Row],[Fault Time]])*24)</f>
        <v>0</v>
      </c>
      <c r="AB1630" s="35">
        <f>(TA[[#This Row],[Work Start time on Fault]]-TA[[#This Row],[Fault Time]])*24</f>
        <v>0</v>
      </c>
      <c r="AC1630" s="34">
        <f>(TA[[#This Row],[Work Completion time on fault]]-TA[[#This Row],[Fault Time]])*24</f>
        <v>0</v>
      </c>
      <c r="AD1630" s="35">
        <f>IFERROR((TA[[#This Row],[Work Completion time on fault]]-TA[[#This Row],[Fault Time]])*24,"")</f>
        <v>0</v>
      </c>
      <c r="AE1630" t="s">
        <v>328</v>
      </c>
      <c r="AF1630" t="s">
        <v>256</v>
      </c>
      <c r="AG1630" s="2"/>
      <c r="AH1630" s="44">
        <f>1-COS(RADIANS(TA[[#This Row],[Avg. Target Angle during Fault Time (Radians)]]-TA[[#This Row],[Angle of affected equipment ]]))</f>
        <v>0.11705240714107301</v>
      </c>
      <c r="AI1630" s="35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56">
        <f t="shared" si="205"/>
        <v>2026</v>
      </c>
      <c r="C1631" s="129">
        <f t="shared" si="206"/>
        <v>2025</v>
      </c>
      <c r="D1631" s="2" t="s">
        <v>155</v>
      </c>
      <c r="E1631" s="2" t="s">
        <v>155</v>
      </c>
      <c r="F1631" s="39">
        <v>45839</v>
      </c>
      <c r="G1631" s="2">
        <f>DAY(EOMONTH(TA[[#This Row],[Month Year]],0))</f>
        <v>31</v>
      </c>
      <c r="H1631" s="21">
        <v>45862</v>
      </c>
      <c r="I1631" s="41">
        <f>IFERROR(VLOOKUP(TA[[#This Row],[Date]],Raw_Data[[Date]:[Sunset Time (POA&lt;20 W/m2)]],3,0),"")</f>
        <v>0.26319444444444445</v>
      </c>
      <c r="J1631" s="41">
        <f>IFERROR(VLOOKUP(TA[[#This Row],[Date]],Raw_Data[[Date]:[Sunset Time (POA&lt;20 W/m2)]],4,0),"")</f>
        <v>0.77083333333333337</v>
      </c>
      <c r="K1631" s="35">
        <f>IFERROR((TA[[#This Row],[Sunset Time (POA&lt;20 W/m2)]]-TA[[#This Row],[Sunrise Time (POA&gt;20 W/m2)]])*24,"")</f>
        <v>12.183333333333335</v>
      </c>
      <c r="L1631" s="2" t="s">
        <v>296</v>
      </c>
      <c r="M1631" s="42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27" t="s">
        <v>318</v>
      </c>
      <c r="Q1631" s="2" t="s">
        <v>321</v>
      </c>
      <c r="R1631">
        <v>133</v>
      </c>
      <c r="S1631" s="2">
        <v>26</v>
      </c>
      <c r="T1631" t="s">
        <v>297</v>
      </c>
      <c r="U1631" t="s">
        <v>300</v>
      </c>
      <c r="V1631" t="s">
        <v>314</v>
      </c>
      <c r="W1631" s="41">
        <f>IFERROR(VLOOKUP(TA[[#This Row],[Date]],Raw_Data[[Date]:[Sunset Time (POA&lt;20 W/m2)]],3,0),"")</f>
        <v>0.26319444444444445</v>
      </c>
      <c r="X1631" s="41">
        <f>IFERROR(VLOOKUP(TA[[#This Row],[Date]],Raw_Data[[Date]:[Sunset Time (POA&lt;20 W/m2)]],3,0),"")</f>
        <v>0.26319444444444445</v>
      </c>
      <c r="Y1631" s="34"/>
      <c r="Z1631" s="34">
        <v>0.76041666666666663</v>
      </c>
      <c r="AA1631" s="35">
        <f>IF(TA[[#This Row],[Work Start time on Fault]]="NA","",(TA[[#This Row],[Fault Acknowledgement Time ]]-TA[[#This Row],[Fault Time]])*24)</f>
        <v>0</v>
      </c>
      <c r="AB1631" s="35">
        <f>(TA[[#This Row],[Work Start time on Fault]]-TA[[#This Row],[Fault Time]])*24</f>
        <v>-6.3166666666666664</v>
      </c>
      <c r="AC1631" s="34">
        <f>(TA[[#This Row],[Work Completion time on fault]]-TA[[#This Row],[Fault Time]])*24</f>
        <v>11.933333333333332</v>
      </c>
      <c r="AD1631" s="35">
        <f>IFERROR((TA[[#This Row],[Work Completion time on fault]]-TA[[#This Row],[Fault Time]])*24,"")</f>
        <v>11.933333333333332</v>
      </c>
      <c r="AE1631" t="s">
        <v>328</v>
      </c>
      <c r="AF1631" t="s">
        <v>256</v>
      </c>
      <c r="AG1631" s="2"/>
      <c r="AH1631" s="44">
        <f>1-COS(RADIANS(TA[[#This Row],[Avg. Target Angle during Fault Time (Radians)]]-TA[[#This Row],[Angle of affected equipment ]]))</f>
        <v>0.11705240714107301</v>
      </c>
      <c r="AI1631" s="35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56">
        <f t="shared" si="205"/>
        <v>2026</v>
      </c>
      <c r="C1632" s="129">
        <f t="shared" si="206"/>
        <v>2025</v>
      </c>
      <c r="D1632" s="2" t="s">
        <v>155</v>
      </c>
      <c r="E1632" s="2" t="s">
        <v>155</v>
      </c>
      <c r="F1632" s="39">
        <v>45839</v>
      </c>
      <c r="G1632" s="2">
        <f>DAY(EOMONTH(TA[[#This Row],[Month Year]],0))</f>
        <v>31</v>
      </c>
      <c r="H1632" s="21">
        <v>45862</v>
      </c>
      <c r="I1632" s="41">
        <f>IFERROR(VLOOKUP(TA[[#This Row],[Date]],Raw_Data[[Date]:[Sunset Time (POA&lt;20 W/m2)]],3,0),"")</f>
        <v>0.26319444444444445</v>
      </c>
      <c r="J1632" s="41">
        <f>IFERROR(VLOOKUP(TA[[#This Row],[Date]],Raw_Data[[Date]:[Sunset Time (POA&lt;20 W/m2)]],4,0),"")</f>
        <v>0.77083333333333337</v>
      </c>
      <c r="K1632" s="35">
        <f>IFERROR((TA[[#This Row],[Sunset Time (POA&lt;20 W/m2)]]-TA[[#This Row],[Sunrise Time (POA&gt;20 W/m2)]])*24,"")</f>
        <v>12.183333333333335</v>
      </c>
      <c r="L1632" s="2" t="s">
        <v>294</v>
      </c>
      <c r="M1632" s="42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27" t="s">
        <v>316</v>
      </c>
      <c r="Q1632" s="126" t="s">
        <v>317</v>
      </c>
      <c r="R1632">
        <v>7</v>
      </c>
      <c r="S1632" s="2">
        <v>32</v>
      </c>
      <c r="T1632" t="s">
        <v>295</v>
      </c>
      <c r="U1632" t="s">
        <v>300</v>
      </c>
      <c r="V1632" t="s">
        <v>298</v>
      </c>
      <c r="W1632" s="41"/>
      <c r="X1632" s="41"/>
      <c r="Y1632" s="34"/>
      <c r="Z1632" s="34"/>
      <c r="AA1632" s="35">
        <f>IF(TA[[#This Row],[Work Start time on Fault]]="NA","",(TA[[#This Row],[Fault Acknowledgement Time ]]-TA[[#This Row],[Fault Time]])*24)</f>
        <v>0</v>
      </c>
      <c r="AB1632" s="35">
        <f>(TA[[#This Row],[Work Start time on Fault]]-TA[[#This Row],[Fault Time]])*24</f>
        <v>0</v>
      </c>
      <c r="AC1632" s="34">
        <f>(TA[[#This Row],[Work Completion time on fault]]-TA[[#This Row],[Fault Time]])*24</f>
        <v>0</v>
      </c>
      <c r="AD1632" s="35">
        <f>IFERROR((TA[[#This Row],[Work Completion time on fault]]-TA[[#This Row],[Fault Time]])*24,"")</f>
        <v>0</v>
      </c>
      <c r="AE1632" t="s">
        <v>328</v>
      </c>
      <c r="AF1632" t="s">
        <v>256</v>
      </c>
      <c r="AG1632" s="2"/>
      <c r="AH1632" s="44">
        <f>1-COS(RADIANS(TA[[#This Row],[Avg. Target Angle during Fault Time (Radians)]]-TA[[#This Row],[Angle of affected equipment ]]))</f>
        <v>0.11705240714107301</v>
      </c>
      <c r="AI1632" s="35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56">
        <f t="shared" si="205"/>
        <v>2026</v>
      </c>
      <c r="C1633" s="129">
        <f t="shared" si="206"/>
        <v>2025</v>
      </c>
      <c r="D1633" s="2" t="s">
        <v>155</v>
      </c>
      <c r="E1633" s="2" t="s">
        <v>155</v>
      </c>
      <c r="F1633" s="39">
        <v>45839</v>
      </c>
      <c r="G1633" s="2">
        <f>DAY(EOMONTH(TA[[#This Row],[Month Year]],0))</f>
        <v>31</v>
      </c>
      <c r="H1633" s="21">
        <v>45862</v>
      </c>
      <c r="I1633" s="41">
        <f>IFERROR(VLOOKUP(TA[[#This Row],[Date]],Raw_Data[[Date]:[Sunset Time (POA&lt;20 W/m2)]],3,0),"")</f>
        <v>0.26319444444444445</v>
      </c>
      <c r="J1633" s="41">
        <f>IFERROR(VLOOKUP(TA[[#This Row],[Date]],Raw_Data[[Date]:[Sunset Time (POA&lt;20 W/m2)]],4,0),"")</f>
        <v>0.77083333333333337</v>
      </c>
      <c r="K1633" s="35">
        <f>IFERROR((TA[[#This Row],[Sunset Time (POA&lt;20 W/m2)]]-TA[[#This Row],[Sunrise Time (POA&gt;20 W/m2)]])*24,"")</f>
        <v>12.183333333333335</v>
      </c>
      <c r="L1633" s="2" t="s">
        <v>294</v>
      </c>
      <c r="M1633" s="42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27" t="s">
        <v>315</v>
      </c>
      <c r="Q1633" s="126" t="s">
        <v>319</v>
      </c>
      <c r="R1633">
        <v>166</v>
      </c>
      <c r="S1633" s="2">
        <v>91</v>
      </c>
      <c r="T1633" t="s">
        <v>295</v>
      </c>
      <c r="U1633" t="s">
        <v>300</v>
      </c>
      <c r="V1633" t="s">
        <v>298</v>
      </c>
      <c r="W1633" s="41"/>
      <c r="X1633" s="41"/>
      <c r="Y1633" s="34"/>
      <c r="Z1633" s="34"/>
      <c r="AA1633" s="35">
        <f>IF(TA[[#This Row],[Work Start time on Fault]]="NA","",(TA[[#This Row],[Fault Acknowledgement Time ]]-TA[[#This Row],[Fault Time]])*24)</f>
        <v>0</v>
      </c>
      <c r="AB1633" s="35">
        <f>(TA[[#This Row],[Work Start time on Fault]]-TA[[#This Row],[Fault Time]])*24</f>
        <v>0</v>
      </c>
      <c r="AC1633" s="34">
        <f>(TA[[#This Row],[Work Completion time on fault]]-TA[[#This Row],[Fault Time]])*24</f>
        <v>0</v>
      </c>
      <c r="AD1633" s="35">
        <f>IFERROR((TA[[#This Row],[Work Completion time on fault]]-TA[[#This Row],[Fault Time]])*24,"")</f>
        <v>0</v>
      </c>
      <c r="AE1633" t="s">
        <v>328</v>
      </c>
      <c r="AF1633" t="s">
        <v>256</v>
      </c>
      <c r="AG1633" s="2"/>
      <c r="AH1633" s="44">
        <f>1-COS(RADIANS(TA[[#This Row],[Avg. Target Angle during Fault Time (Radians)]]-TA[[#This Row],[Angle of affected equipment ]]))</f>
        <v>0.11705240714107301</v>
      </c>
      <c r="AI1633" s="35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56">
        <f t="shared" si="205"/>
        <v>2026</v>
      </c>
      <c r="C1634" s="129">
        <f t="shared" si="206"/>
        <v>2025</v>
      </c>
      <c r="D1634" s="2" t="s">
        <v>155</v>
      </c>
      <c r="E1634" s="2" t="s">
        <v>155</v>
      </c>
      <c r="F1634" s="39">
        <v>45839</v>
      </c>
      <c r="G1634" s="2">
        <f>DAY(EOMONTH(TA[[#This Row],[Month Year]],0))</f>
        <v>31</v>
      </c>
      <c r="H1634" s="21">
        <v>45862</v>
      </c>
      <c r="I1634" s="41">
        <f>IFERROR(VLOOKUP(TA[[#This Row],[Date]],Raw_Data[[Date]:[Sunset Time (POA&lt;20 W/m2)]],3,0),"")</f>
        <v>0.26319444444444445</v>
      </c>
      <c r="J1634" s="41">
        <f>IFERROR(VLOOKUP(TA[[#This Row],[Date]],Raw_Data[[Date]:[Sunset Time (POA&lt;20 W/m2)]],4,0),"")</f>
        <v>0.77083333333333337</v>
      </c>
      <c r="K1634" s="35">
        <f>IFERROR((TA[[#This Row],[Sunset Time (POA&lt;20 W/m2)]]-TA[[#This Row],[Sunrise Time (POA&gt;20 W/m2)]])*24,"")</f>
        <v>12.183333333333335</v>
      </c>
      <c r="L1634" s="2" t="s">
        <v>294</v>
      </c>
      <c r="M1634" s="42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27" t="s">
        <v>316</v>
      </c>
      <c r="Q1634" s="126" t="s">
        <v>316</v>
      </c>
      <c r="R1634">
        <v>117</v>
      </c>
      <c r="S1634" s="2">
        <v>20</v>
      </c>
      <c r="T1634" t="s">
        <v>295</v>
      </c>
      <c r="U1634" t="s">
        <v>300</v>
      </c>
      <c r="V1634" t="s">
        <v>298</v>
      </c>
      <c r="W1634" s="41"/>
      <c r="X1634" s="41"/>
      <c r="Y1634" s="34"/>
      <c r="Z1634" s="34"/>
      <c r="AA1634" s="35">
        <f>IF(TA[[#This Row],[Work Start time on Fault]]="NA","",(TA[[#This Row],[Fault Acknowledgement Time ]]-TA[[#This Row],[Fault Time]])*24)</f>
        <v>0</v>
      </c>
      <c r="AB1634" s="35">
        <f>(TA[[#This Row],[Work Start time on Fault]]-TA[[#This Row],[Fault Time]])*24</f>
        <v>0</v>
      </c>
      <c r="AC1634" s="34">
        <f>(TA[[#This Row],[Work Completion time on fault]]-TA[[#This Row],[Fault Time]])*24</f>
        <v>0</v>
      </c>
      <c r="AD1634" s="35">
        <f>IFERROR((TA[[#This Row],[Work Completion time on fault]]-TA[[#This Row],[Fault Time]])*24,"")</f>
        <v>0</v>
      </c>
      <c r="AE1634" t="s">
        <v>328</v>
      </c>
      <c r="AF1634" t="s">
        <v>256</v>
      </c>
      <c r="AG1634" s="2"/>
      <c r="AH1634" s="44">
        <f>1-COS(RADIANS(TA[[#This Row],[Avg. Target Angle during Fault Time (Radians)]]-TA[[#This Row],[Angle of affected equipment ]]))</f>
        <v>0.11705240714107301</v>
      </c>
      <c r="AI1634" s="35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56">
        <f t="shared" si="205"/>
        <v>2026</v>
      </c>
      <c r="C1635" s="129">
        <f t="shared" si="206"/>
        <v>2025</v>
      </c>
      <c r="D1635" s="2" t="s">
        <v>155</v>
      </c>
      <c r="E1635" s="2" t="s">
        <v>155</v>
      </c>
      <c r="F1635" s="39">
        <v>45839</v>
      </c>
      <c r="G1635" s="2">
        <f>DAY(EOMONTH(TA[[#This Row],[Month Year]],0))</f>
        <v>31</v>
      </c>
      <c r="H1635" s="21">
        <v>45862</v>
      </c>
      <c r="I1635" s="41">
        <f>IFERROR(VLOOKUP(TA[[#This Row],[Date]],Raw_Data[[Date]:[Sunset Time (POA&lt;20 W/m2)]],3,0),"")</f>
        <v>0.26319444444444445</v>
      </c>
      <c r="J1635" s="41">
        <f>IFERROR(VLOOKUP(TA[[#This Row],[Date]],Raw_Data[[Date]:[Sunset Time (POA&lt;20 W/m2)]],4,0),"")</f>
        <v>0.77083333333333337</v>
      </c>
      <c r="K1635" s="35">
        <f>IFERROR((TA[[#This Row],[Sunset Time (POA&lt;20 W/m2)]]-TA[[#This Row],[Sunrise Time (POA&gt;20 W/m2)]])*24,"")</f>
        <v>12.183333333333335</v>
      </c>
      <c r="L1635" s="2" t="s">
        <v>294</v>
      </c>
      <c r="M1635" s="42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27" t="s">
        <v>316</v>
      </c>
      <c r="Q1635" s="126" t="s">
        <v>316</v>
      </c>
      <c r="R1635">
        <v>118</v>
      </c>
      <c r="S1635" s="2">
        <v>22</v>
      </c>
      <c r="T1635" t="s">
        <v>295</v>
      </c>
      <c r="U1635" t="s">
        <v>300</v>
      </c>
      <c r="V1635" t="s">
        <v>298</v>
      </c>
      <c r="W1635" s="41"/>
      <c r="X1635" s="41"/>
      <c r="Y1635" s="34"/>
      <c r="Z1635" s="34"/>
      <c r="AA1635" s="35">
        <f>IF(TA[[#This Row],[Work Start time on Fault]]="NA","",(TA[[#This Row],[Fault Acknowledgement Time ]]-TA[[#This Row],[Fault Time]])*24)</f>
        <v>0</v>
      </c>
      <c r="AB1635" s="35">
        <f>(TA[[#This Row],[Work Start time on Fault]]-TA[[#This Row],[Fault Time]])*24</f>
        <v>0</v>
      </c>
      <c r="AC1635" s="34">
        <f>(TA[[#This Row],[Work Completion time on fault]]-TA[[#This Row],[Fault Time]])*24</f>
        <v>0</v>
      </c>
      <c r="AD1635" s="35">
        <f>IFERROR((TA[[#This Row],[Work Completion time on fault]]-TA[[#This Row],[Fault Time]])*24,"")</f>
        <v>0</v>
      </c>
      <c r="AE1635" t="s">
        <v>328</v>
      </c>
      <c r="AF1635" t="s">
        <v>256</v>
      </c>
      <c r="AG1635" s="2"/>
      <c r="AH1635" s="44">
        <f>1-COS(RADIANS(TA[[#This Row],[Avg. Target Angle during Fault Time (Radians)]]-TA[[#This Row],[Angle of affected equipment ]]))</f>
        <v>0.11705240714107301</v>
      </c>
      <c r="AI1635" s="35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56">
        <f t="shared" si="205"/>
        <v>2026</v>
      </c>
      <c r="C1636" s="129">
        <f t="shared" si="206"/>
        <v>2025</v>
      </c>
      <c r="D1636" s="2" t="s">
        <v>155</v>
      </c>
      <c r="E1636" s="2" t="s">
        <v>155</v>
      </c>
      <c r="F1636" s="39">
        <v>45839</v>
      </c>
      <c r="G1636" s="2">
        <f>DAY(EOMONTH(TA[[#This Row],[Month Year]],0))</f>
        <v>31</v>
      </c>
      <c r="H1636" s="21">
        <v>45862</v>
      </c>
      <c r="I1636" s="41">
        <f>IFERROR(VLOOKUP(TA[[#This Row],[Date]],Raw_Data[[Date]:[Sunset Time (POA&lt;20 W/m2)]],3,0),"")</f>
        <v>0.26319444444444445</v>
      </c>
      <c r="J1636" s="41">
        <f>IFERROR(VLOOKUP(TA[[#This Row],[Date]],Raw_Data[[Date]:[Sunset Time (POA&lt;20 W/m2)]],4,0),"")</f>
        <v>0.77083333333333337</v>
      </c>
      <c r="K1636" s="35">
        <f>IFERROR((TA[[#This Row],[Sunset Time (POA&lt;20 W/m2)]]-TA[[#This Row],[Sunrise Time (POA&gt;20 W/m2)]])*24,"")</f>
        <v>12.183333333333335</v>
      </c>
      <c r="L1636" s="2" t="s">
        <v>296</v>
      </c>
      <c r="M1636" s="42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323</v>
      </c>
      <c r="Q1636" s="2" t="s">
        <v>329</v>
      </c>
      <c r="R1636">
        <v>45</v>
      </c>
      <c r="S1636" s="2">
        <v>8</v>
      </c>
      <c r="T1636" t="s">
        <v>297</v>
      </c>
      <c r="U1636" t="s">
        <v>300</v>
      </c>
      <c r="V1636" t="s">
        <v>301</v>
      </c>
      <c r="W1636" s="41"/>
      <c r="X1636" s="41"/>
      <c r="Y1636" s="34"/>
      <c r="Z1636" s="34"/>
      <c r="AA1636" s="35">
        <f>IF(TA[[#This Row],[Work Start time on Fault]]="NA","",(TA[[#This Row],[Fault Acknowledgement Time ]]-TA[[#This Row],[Fault Time]])*24)</f>
        <v>0</v>
      </c>
      <c r="AB1636" s="35">
        <f>(TA[[#This Row],[Work Start time on Fault]]-TA[[#This Row],[Fault Time]])*24</f>
        <v>0</v>
      </c>
      <c r="AC1636" s="34">
        <f>(TA[[#This Row],[Work Completion time on fault]]-TA[[#This Row],[Fault Time]])*24</f>
        <v>0</v>
      </c>
      <c r="AD1636" s="35">
        <f>IFERROR((TA[[#This Row],[Work Completion time on fault]]-TA[[#This Row],[Fault Time]])*24,"")</f>
        <v>0</v>
      </c>
      <c r="AE1636" t="s">
        <v>328</v>
      </c>
      <c r="AF1636" t="s">
        <v>256</v>
      </c>
      <c r="AG1636" s="2"/>
      <c r="AH1636" s="44">
        <f>1-COS(RADIANS(TA[[#This Row],[Avg. Target Angle during Fault Time (Radians)]]-TA[[#This Row],[Angle of affected equipment ]]))</f>
        <v>0.11705240714107301</v>
      </c>
      <c r="AI1636" s="35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56">
        <f t="shared" si="205"/>
        <v>2026</v>
      </c>
      <c r="C1637" s="129">
        <f t="shared" si="206"/>
        <v>2025</v>
      </c>
      <c r="D1637" s="2" t="s">
        <v>155</v>
      </c>
      <c r="E1637" s="2" t="s">
        <v>155</v>
      </c>
      <c r="F1637" s="39">
        <v>45839</v>
      </c>
      <c r="G1637" s="2">
        <f>DAY(EOMONTH(TA[[#This Row],[Month Year]],0))</f>
        <v>31</v>
      </c>
      <c r="H1637" s="21">
        <v>45862</v>
      </c>
      <c r="I1637" s="41">
        <f>IFERROR(VLOOKUP(TA[[#This Row],[Date]],Raw_Data[[Date]:[Sunset Time (POA&lt;20 W/m2)]],3,0),"")</f>
        <v>0.26319444444444445</v>
      </c>
      <c r="J1637" s="41">
        <f>IFERROR(VLOOKUP(TA[[#This Row],[Date]],Raw_Data[[Date]:[Sunset Time (POA&lt;20 W/m2)]],4,0),"")</f>
        <v>0.77083333333333337</v>
      </c>
      <c r="K1637" s="35">
        <f>IFERROR((TA[[#This Row],[Sunset Time (POA&lt;20 W/m2)]]-TA[[#This Row],[Sunrise Time (POA&gt;20 W/m2)]])*24,"")</f>
        <v>12.183333333333335</v>
      </c>
      <c r="L1637" s="2" t="s">
        <v>296</v>
      </c>
      <c r="M1637" s="42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323</v>
      </c>
      <c r="Q1637" s="2" t="s">
        <v>329</v>
      </c>
      <c r="R1637">
        <v>47</v>
      </c>
      <c r="S1637" s="2">
        <v>18</v>
      </c>
      <c r="T1637" t="s">
        <v>297</v>
      </c>
      <c r="U1637" t="s">
        <v>300</v>
      </c>
      <c r="V1637" t="s">
        <v>301</v>
      </c>
      <c r="W1637" s="41"/>
      <c r="X1637" s="41"/>
      <c r="Y1637" s="34"/>
      <c r="Z1637" s="34"/>
      <c r="AA1637" s="35">
        <f>IF(TA[[#This Row],[Work Start time on Fault]]="NA","",(TA[[#This Row],[Fault Acknowledgement Time ]]-TA[[#This Row],[Fault Time]])*24)</f>
        <v>0</v>
      </c>
      <c r="AB1637" s="35">
        <f>(TA[[#This Row],[Work Start time on Fault]]-TA[[#This Row],[Fault Time]])*24</f>
        <v>0</v>
      </c>
      <c r="AC1637" s="34">
        <f>(TA[[#This Row],[Work Completion time on fault]]-TA[[#This Row],[Fault Time]])*24</f>
        <v>0</v>
      </c>
      <c r="AD1637" s="35">
        <f>IFERROR((TA[[#This Row],[Work Completion time on fault]]-TA[[#This Row],[Fault Time]])*24,"")</f>
        <v>0</v>
      </c>
      <c r="AE1637" t="s">
        <v>328</v>
      </c>
      <c r="AF1637" t="s">
        <v>256</v>
      </c>
      <c r="AG1637" s="2"/>
      <c r="AH1637" s="44">
        <f>1-COS(RADIANS(TA[[#This Row],[Avg. Target Angle during Fault Time (Radians)]]-TA[[#This Row],[Angle of affected equipment ]]))</f>
        <v>0.11705240714107301</v>
      </c>
      <c r="AI1637" s="35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56">
        <f t="shared" si="205"/>
        <v>2026</v>
      </c>
      <c r="C1638" s="129">
        <f t="shared" si="206"/>
        <v>2025</v>
      </c>
      <c r="D1638" s="2" t="s">
        <v>155</v>
      </c>
      <c r="E1638" s="2" t="s">
        <v>155</v>
      </c>
      <c r="F1638" s="39">
        <v>45839</v>
      </c>
      <c r="G1638" s="2">
        <f>DAY(EOMONTH(TA[[#This Row],[Month Year]],0))</f>
        <v>31</v>
      </c>
      <c r="H1638" s="21">
        <v>45862</v>
      </c>
      <c r="I1638" s="41">
        <f>IFERROR(VLOOKUP(TA[[#This Row],[Date]],Raw_Data[[Date]:[Sunset Time (POA&lt;20 W/m2)]],3,0),"")</f>
        <v>0.26319444444444445</v>
      </c>
      <c r="J1638" s="41">
        <f>IFERROR(VLOOKUP(TA[[#This Row],[Date]],Raw_Data[[Date]:[Sunset Time (POA&lt;20 W/m2)]],4,0),"")</f>
        <v>0.77083333333333337</v>
      </c>
      <c r="K1638" s="35">
        <f>IFERROR((TA[[#This Row],[Sunset Time (POA&lt;20 W/m2)]]-TA[[#This Row],[Sunrise Time (POA&gt;20 W/m2)]])*24,"")</f>
        <v>12.183333333333335</v>
      </c>
      <c r="L1638" s="2" t="s">
        <v>296</v>
      </c>
      <c r="M1638" s="42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330</v>
      </c>
      <c r="Q1638" s="2" t="s">
        <v>323</v>
      </c>
      <c r="R1638">
        <v>30</v>
      </c>
      <c r="S1638" s="2">
        <v>57</v>
      </c>
      <c r="T1638" t="s">
        <v>297</v>
      </c>
      <c r="U1638" t="s">
        <v>300</v>
      </c>
      <c r="V1638" t="s">
        <v>301</v>
      </c>
      <c r="W1638" s="41"/>
      <c r="X1638" s="41"/>
      <c r="Y1638" s="34"/>
      <c r="Z1638" s="34"/>
      <c r="AA1638" s="35">
        <f>IF(TA[[#This Row],[Work Start time on Fault]]="NA","",(TA[[#This Row],[Fault Acknowledgement Time ]]-TA[[#This Row],[Fault Time]])*24)</f>
        <v>0</v>
      </c>
      <c r="AB1638" s="35">
        <f>(TA[[#This Row],[Work Start time on Fault]]-TA[[#This Row],[Fault Time]])*24</f>
        <v>0</v>
      </c>
      <c r="AC1638" s="34">
        <f>(TA[[#This Row],[Work Completion time on fault]]-TA[[#This Row],[Fault Time]])*24</f>
        <v>0</v>
      </c>
      <c r="AD1638" s="35">
        <f>IFERROR((TA[[#This Row],[Work Completion time on fault]]-TA[[#This Row],[Fault Time]])*24,"")</f>
        <v>0</v>
      </c>
      <c r="AE1638" t="s">
        <v>328</v>
      </c>
      <c r="AF1638" t="s">
        <v>256</v>
      </c>
      <c r="AG1638" s="2"/>
      <c r="AH1638" s="44">
        <f>1-COS(RADIANS(TA[[#This Row],[Avg. Target Angle during Fault Time (Radians)]]-TA[[#This Row],[Angle of affected equipment ]]))</f>
        <v>0.11705240714107301</v>
      </c>
      <c r="AI1638" s="35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56">
        <f t="shared" si="205"/>
        <v>2026</v>
      </c>
      <c r="C1639" s="129">
        <f t="shared" si="206"/>
        <v>2025</v>
      </c>
      <c r="D1639" s="2" t="s">
        <v>155</v>
      </c>
      <c r="E1639" s="2" t="s">
        <v>155</v>
      </c>
      <c r="F1639" s="39">
        <v>45839</v>
      </c>
      <c r="G1639" s="2">
        <f>DAY(EOMONTH(TA[[#This Row],[Month Year]],0))</f>
        <v>31</v>
      </c>
      <c r="H1639" s="21">
        <v>45862</v>
      </c>
      <c r="I1639" s="41">
        <f>IFERROR(VLOOKUP(TA[[#This Row],[Date]],Raw_Data[[Date]:[Sunset Time (POA&lt;20 W/m2)]],3,0),"")</f>
        <v>0.26319444444444445</v>
      </c>
      <c r="J1639" s="41">
        <f>IFERROR(VLOOKUP(TA[[#This Row],[Date]],Raw_Data[[Date]:[Sunset Time (POA&lt;20 W/m2)]],4,0),"")</f>
        <v>0.77083333333333337</v>
      </c>
      <c r="K1639" s="35">
        <f>IFERROR((TA[[#This Row],[Sunset Time (POA&lt;20 W/m2)]]-TA[[#This Row],[Sunrise Time (POA&gt;20 W/m2)]])*24,"")</f>
        <v>12.183333333333335</v>
      </c>
      <c r="L1639" s="2" t="s">
        <v>296</v>
      </c>
      <c r="M1639" s="42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330</v>
      </c>
      <c r="Q1639" s="2" t="s">
        <v>323</v>
      </c>
      <c r="R1639">
        <v>31</v>
      </c>
      <c r="S1639" s="2">
        <v>61</v>
      </c>
      <c r="T1639" t="s">
        <v>297</v>
      </c>
      <c r="U1639" t="s">
        <v>300</v>
      </c>
      <c r="V1639" t="s">
        <v>301</v>
      </c>
      <c r="W1639" s="41"/>
      <c r="X1639" s="41"/>
      <c r="Y1639" s="34"/>
      <c r="Z1639" s="34"/>
      <c r="AA1639" s="35">
        <f>IF(TA[[#This Row],[Work Start time on Fault]]="NA","",(TA[[#This Row],[Fault Acknowledgement Time ]]-TA[[#This Row],[Fault Time]])*24)</f>
        <v>0</v>
      </c>
      <c r="AB1639" s="35">
        <f>(TA[[#This Row],[Work Start time on Fault]]-TA[[#This Row],[Fault Time]])*24</f>
        <v>0</v>
      </c>
      <c r="AC1639" s="34">
        <f>(TA[[#This Row],[Work Completion time on fault]]-TA[[#This Row],[Fault Time]])*24</f>
        <v>0</v>
      </c>
      <c r="AD1639" s="35">
        <f>IFERROR((TA[[#This Row],[Work Completion time on fault]]-TA[[#This Row],[Fault Time]])*24,"")</f>
        <v>0</v>
      </c>
      <c r="AE1639" t="s">
        <v>328</v>
      </c>
      <c r="AF1639" t="s">
        <v>256</v>
      </c>
      <c r="AG1639" s="2"/>
      <c r="AH1639" s="44">
        <f>1-COS(RADIANS(TA[[#This Row],[Avg. Target Angle during Fault Time (Radians)]]-TA[[#This Row],[Angle of affected equipment ]]))</f>
        <v>0.11705240714107301</v>
      </c>
      <c r="AI1639" s="35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56">
        <f t="shared" si="205"/>
        <v>2026</v>
      </c>
      <c r="C1640" s="129">
        <f t="shared" si="206"/>
        <v>2025</v>
      </c>
      <c r="D1640" s="2" t="s">
        <v>155</v>
      </c>
      <c r="E1640" s="2" t="s">
        <v>155</v>
      </c>
      <c r="F1640" s="39">
        <v>45839</v>
      </c>
      <c r="G1640" s="2">
        <f>DAY(EOMONTH(TA[[#This Row],[Month Year]],0))</f>
        <v>31</v>
      </c>
      <c r="H1640" s="21">
        <v>45862</v>
      </c>
      <c r="I1640" s="41">
        <f>IFERROR(VLOOKUP(TA[[#This Row],[Date]],Raw_Data[[Date]:[Sunset Time (POA&lt;20 W/m2)]],3,0),"")</f>
        <v>0.26319444444444445</v>
      </c>
      <c r="J1640" s="41">
        <f>IFERROR(VLOOKUP(TA[[#This Row],[Date]],Raw_Data[[Date]:[Sunset Time (POA&lt;20 W/m2)]],4,0),"")</f>
        <v>0.77083333333333337</v>
      </c>
      <c r="K1640" s="35">
        <f>IFERROR((TA[[#This Row],[Sunset Time (POA&lt;20 W/m2)]]-TA[[#This Row],[Sunrise Time (POA&gt;20 W/m2)]])*24,"")</f>
        <v>12.183333333333335</v>
      </c>
      <c r="L1640" s="2" t="s">
        <v>312</v>
      </c>
      <c r="M1640" s="42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330</v>
      </c>
      <c r="Q1640" s="2" t="s">
        <v>323</v>
      </c>
      <c r="R1640">
        <v>26</v>
      </c>
      <c r="S1640" s="2">
        <v>37</v>
      </c>
      <c r="T1640" t="s">
        <v>297</v>
      </c>
      <c r="U1640" t="s">
        <v>300</v>
      </c>
      <c r="V1640" t="s">
        <v>301</v>
      </c>
      <c r="W1640" s="41"/>
      <c r="X1640" s="41"/>
      <c r="Y1640" s="34"/>
      <c r="Z1640" s="34"/>
      <c r="AA1640" s="35">
        <f>IF(TA[[#This Row],[Work Start time on Fault]]="NA","",(TA[[#This Row],[Fault Acknowledgement Time ]]-TA[[#This Row],[Fault Time]])*24)</f>
        <v>0</v>
      </c>
      <c r="AB1640" s="35">
        <f>(TA[[#This Row],[Work Start time on Fault]]-TA[[#This Row],[Fault Time]])*24</f>
        <v>0</v>
      </c>
      <c r="AC1640" s="34">
        <f>(TA[[#This Row],[Work Completion time on fault]]-TA[[#This Row],[Fault Time]])*24</f>
        <v>0</v>
      </c>
      <c r="AD1640" s="35">
        <f>IFERROR((TA[[#This Row],[Work Completion time on fault]]-TA[[#This Row],[Fault Time]])*24,"")</f>
        <v>0</v>
      </c>
      <c r="AE1640" t="s">
        <v>328</v>
      </c>
      <c r="AF1640" t="s">
        <v>256</v>
      </c>
      <c r="AG1640" s="2"/>
      <c r="AH1640" s="44">
        <f>1-COS(RADIANS(TA[[#This Row],[Avg. Target Angle during Fault Time (Radians)]]-TA[[#This Row],[Angle of affected equipment ]]))</f>
        <v>0.11705240714107301</v>
      </c>
      <c r="AI1640" s="35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56">
        <f t="shared" si="205"/>
        <v>2026</v>
      </c>
      <c r="C1641" s="129">
        <f t="shared" si="206"/>
        <v>2025</v>
      </c>
      <c r="D1641" s="2" t="s">
        <v>155</v>
      </c>
      <c r="E1641" s="2" t="s">
        <v>155</v>
      </c>
      <c r="F1641" s="39">
        <v>45839</v>
      </c>
      <c r="G1641" s="2">
        <f>DAY(EOMONTH(TA[[#This Row],[Month Year]],0))</f>
        <v>31</v>
      </c>
      <c r="H1641" s="21">
        <v>45862</v>
      </c>
      <c r="I1641" s="41">
        <f>IFERROR(VLOOKUP(TA[[#This Row],[Date]],Raw_Data[[Date]:[Sunset Time (POA&lt;20 W/m2)]],3,0),"")</f>
        <v>0.26319444444444445</v>
      </c>
      <c r="J1641" s="41">
        <f>IFERROR(VLOOKUP(TA[[#This Row],[Date]],Raw_Data[[Date]:[Sunset Time (POA&lt;20 W/m2)]],4,0),"")</f>
        <v>0.77083333333333337</v>
      </c>
      <c r="K1641" s="35">
        <f>IFERROR((TA[[#This Row],[Sunset Time (POA&lt;20 W/m2)]]-TA[[#This Row],[Sunrise Time (POA&gt;20 W/m2)]])*24,"")</f>
        <v>12.183333333333335</v>
      </c>
      <c r="L1641" s="2" t="s">
        <v>312</v>
      </c>
      <c r="M1641" s="42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330</v>
      </c>
      <c r="Q1641" s="2" t="s">
        <v>323</v>
      </c>
      <c r="R1641">
        <v>27</v>
      </c>
      <c r="S1641" s="2">
        <v>42</v>
      </c>
      <c r="T1641" t="s">
        <v>297</v>
      </c>
      <c r="U1641" t="s">
        <v>300</v>
      </c>
      <c r="V1641" t="s">
        <v>301</v>
      </c>
      <c r="W1641" s="41">
        <f>IFERROR(VLOOKUP(TA[[#This Row],[Date]],Raw_Data[[Date]:[Sunset Time (POA&lt;20 W/m2)]],3,0),"")</f>
        <v>0.26319444444444445</v>
      </c>
      <c r="X1641" s="41">
        <f>IFERROR(VLOOKUP(TA[[#This Row],[Date]],Raw_Data[[Date]:[Sunset Time (POA&lt;20 W/m2)]],3,0),"")</f>
        <v>0.26319444444444445</v>
      </c>
      <c r="Y1641" s="34"/>
      <c r="Z1641" s="34">
        <v>0.76041666666666663</v>
      </c>
      <c r="AA1641" s="35">
        <f>IF(TA[[#This Row],[Work Start time on Fault]]="NA","",(TA[[#This Row],[Fault Acknowledgement Time ]]-TA[[#This Row],[Fault Time]])*24)</f>
        <v>0</v>
      </c>
      <c r="AB1641" s="35">
        <f>(TA[[#This Row],[Work Start time on Fault]]-TA[[#This Row],[Fault Time]])*24</f>
        <v>-6.3166666666666664</v>
      </c>
      <c r="AC1641" s="34">
        <f>(TA[[#This Row],[Work Completion time on fault]]-TA[[#This Row],[Fault Time]])*24</f>
        <v>11.933333333333332</v>
      </c>
      <c r="AD1641" s="35">
        <f>IFERROR((TA[[#This Row],[Work Completion time on fault]]-TA[[#This Row],[Fault Time]])*24,"")</f>
        <v>11.933333333333332</v>
      </c>
      <c r="AE1641" t="s">
        <v>309</v>
      </c>
      <c r="AF1641" t="s">
        <v>256</v>
      </c>
      <c r="AG1641" s="2"/>
      <c r="AH1641" s="44">
        <f>1-COS(RADIANS(TA[[#This Row],[Avg. Target Angle during Fault Time (Radians)]]-TA[[#This Row],[Angle of affected equipment ]]))</f>
        <v>0.11705240714107301</v>
      </c>
      <c r="AI1641" s="35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56">
        <f t="shared" ref="B1642:B1667" si="207">YEAR(H1642)+IF(MONTH(H1642)&gt;=4,1,0)</f>
        <v>2026</v>
      </c>
      <c r="C1642" s="129">
        <f t="shared" ref="C1642:C1667" si="208">YEAR(H1642)</f>
        <v>2025</v>
      </c>
      <c r="D1642" s="2" t="s">
        <v>155</v>
      </c>
      <c r="E1642" s="2" t="s">
        <v>155</v>
      </c>
      <c r="F1642" s="39">
        <v>45839</v>
      </c>
      <c r="G1642" s="2">
        <f>DAY(EOMONTH(TA[[#This Row],[Month Year]],0))</f>
        <v>31</v>
      </c>
      <c r="H1642" s="21">
        <v>45863</v>
      </c>
      <c r="I1642" s="41">
        <f>IFERROR(VLOOKUP(TA[[#This Row],[Date]],Raw_Data[[Date]:[Sunset Time (POA&lt;20 W/m2)]],3,0),"")</f>
        <v>0.26319444444444445</v>
      </c>
      <c r="J1642" s="41">
        <f>IFERROR(VLOOKUP(TA[[#This Row],[Date]],Raw_Data[[Date]:[Sunset Time (POA&lt;20 W/m2)]],4,0),"")</f>
        <v>0.77083333333333337</v>
      </c>
      <c r="K1642" s="35">
        <f>IFERROR((TA[[#This Row],[Sunset Time (POA&lt;20 W/m2)]]-TA[[#This Row],[Sunrise Time (POA&gt;20 W/m2)]])*24,"")</f>
        <v>12.183333333333335</v>
      </c>
      <c r="L1642" s="2" t="s">
        <v>294</v>
      </c>
      <c r="M1642" s="42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27" t="s">
        <v>318</v>
      </c>
      <c r="Q1642" s="126" t="s">
        <v>318</v>
      </c>
      <c r="R1642">
        <v>131</v>
      </c>
      <c r="S1642" s="2">
        <v>38</v>
      </c>
      <c r="T1642" t="s">
        <v>295</v>
      </c>
      <c r="U1642" t="s">
        <v>300</v>
      </c>
      <c r="V1642" t="s">
        <v>298</v>
      </c>
      <c r="W1642" s="41"/>
      <c r="X1642" s="41"/>
      <c r="Y1642" s="34"/>
      <c r="Z1642" s="34"/>
      <c r="AA1642" s="35">
        <f>IF(TA[[#This Row],[Work Start time on Fault]]="NA","",(TA[[#This Row],[Fault Acknowledgement Time ]]-TA[[#This Row],[Fault Time]])*24)</f>
        <v>0</v>
      </c>
      <c r="AB1642" s="35">
        <f>(TA[[#This Row],[Work Start time on Fault]]-TA[[#This Row],[Fault Time]])*24</f>
        <v>0</v>
      </c>
      <c r="AC1642" s="34">
        <f>(TA[[#This Row],[Work Completion time on fault]]-TA[[#This Row],[Fault Time]])*24</f>
        <v>0</v>
      </c>
      <c r="AD1642" s="35">
        <f>IFERROR((TA[[#This Row],[Work Completion time on fault]]-TA[[#This Row],[Fault Time]])*24,"")</f>
        <v>0</v>
      </c>
      <c r="AE1642" t="s">
        <v>328</v>
      </c>
      <c r="AF1642" t="s">
        <v>256</v>
      </c>
      <c r="AG1642" s="2"/>
      <c r="AH1642" s="44">
        <f>1-COS(RADIANS(TA[[#This Row],[Avg. Target Angle during Fault Time (Radians)]]-TA[[#This Row],[Angle of affected equipment ]]))</f>
        <v>0.11705240714107301</v>
      </c>
      <c r="AI1642" s="35">
        <f>IFERROR(TA[[#This Row],[Breakdown Time]]*TA[[#This Row],[Plant Equivalent Weightage]],"")</f>
        <v>0</v>
      </c>
    </row>
    <row r="1643" spans="1:35">
      <c r="A1643" s="2">
        <f t="shared" ref="A1643:A1707" si="209">A1642+1</f>
        <v>1640</v>
      </c>
      <c r="B1643" s="156">
        <f t="shared" si="207"/>
        <v>2026</v>
      </c>
      <c r="C1643" s="129">
        <f t="shared" si="208"/>
        <v>2025</v>
      </c>
      <c r="D1643" s="2" t="s">
        <v>155</v>
      </c>
      <c r="E1643" s="2" t="s">
        <v>155</v>
      </c>
      <c r="F1643" s="39">
        <v>45839</v>
      </c>
      <c r="G1643" s="2">
        <f>DAY(EOMONTH(TA[[#This Row],[Month Year]],0))</f>
        <v>31</v>
      </c>
      <c r="H1643" s="21">
        <v>45863</v>
      </c>
      <c r="I1643" s="41">
        <f>IFERROR(VLOOKUP(TA[[#This Row],[Date]],Raw_Data[[Date]:[Sunset Time (POA&lt;20 W/m2)]],3,0),"")</f>
        <v>0.26319444444444445</v>
      </c>
      <c r="J1643" s="41">
        <f>IFERROR(VLOOKUP(TA[[#This Row],[Date]],Raw_Data[[Date]:[Sunset Time (POA&lt;20 W/m2)]],4,0),"")</f>
        <v>0.77083333333333337</v>
      </c>
      <c r="K1643" s="35">
        <f>IFERROR((TA[[#This Row],[Sunset Time (POA&lt;20 W/m2)]]-TA[[#This Row],[Sunrise Time (POA&gt;20 W/m2)]])*24,"")</f>
        <v>12.183333333333335</v>
      </c>
      <c r="L1643" s="2" t="s">
        <v>294</v>
      </c>
      <c r="M1643" s="42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27" t="s">
        <v>318</v>
      </c>
      <c r="Q1643" s="126" t="s">
        <v>318</v>
      </c>
      <c r="R1643">
        <v>131</v>
      </c>
      <c r="S1643" s="2">
        <v>39</v>
      </c>
      <c r="T1643" t="s">
        <v>295</v>
      </c>
      <c r="U1643" t="s">
        <v>300</v>
      </c>
      <c r="V1643" t="s">
        <v>298</v>
      </c>
      <c r="W1643" s="41"/>
      <c r="X1643" s="41"/>
      <c r="Y1643" s="34"/>
      <c r="Z1643" s="34"/>
      <c r="AA1643" s="35">
        <f>IF(TA[[#This Row],[Work Start time on Fault]]="NA","",(TA[[#This Row],[Fault Acknowledgement Time ]]-TA[[#This Row],[Fault Time]])*24)</f>
        <v>0</v>
      </c>
      <c r="AB1643" s="35">
        <f>(TA[[#This Row],[Work Start time on Fault]]-TA[[#This Row],[Fault Time]])*24</f>
        <v>0</v>
      </c>
      <c r="AC1643" s="34">
        <f>(TA[[#This Row],[Work Completion time on fault]]-TA[[#This Row],[Fault Time]])*24</f>
        <v>0</v>
      </c>
      <c r="AD1643" s="35">
        <f>IFERROR((TA[[#This Row],[Work Completion time on fault]]-TA[[#This Row],[Fault Time]])*24,"")</f>
        <v>0</v>
      </c>
      <c r="AE1643" t="s">
        <v>328</v>
      </c>
      <c r="AF1643" t="s">
        <v>256</v>
      </c>
      <c r="AG1643" s="2"/>
      <c r="AH1643" s="44">
        <f>1-COS(RADIANS(TA[[#This Row],[Avg. Target Angle during Fault Time (Radians)]]-TA[[#This Row],[Angle of affected equipment ]]))</f>
        <v>0.11705240714107301</v>
      </c>
      <c r="AI1643" s="35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56">
        <f t="shared" si="207"/>
        <v>2026</v>
      </c>
      <c r="C1644" s="129">
        <f t="shared" si="208"/>
        <v>2025</v>
      </c>
      <c r="D1644" s="2" t="s">
        <v>155</v>
      </c>
      <c r="E1644" s="2" t="s">
        <v>155</v>
      </c>
      <c r="F1644" s="39">
        <v>45839</v>
      </c>
      <c r="G1644" s="2">
        <f>DAY(EOMONTH(TA[[#This Row],[Month Year]],0))</f>
        <v>31</v>
      </c>
      <c r="H1644" s="21">
        <v>45863</v>
      </c>
      <c r="I1644" s="41">
        <f>IFERROR(VLOOKUP(TA[[#This Row],[Date]],Raw_Data[[Date]:[Sunset Time (POA&lt;20 W/m2)]],3,0),"")</f>
        <v>0.26319444444444445</v>
      </c>
      <c r="J1644" s="41">
        <f>IFERROR(VLOOKUP(TA[[#This Row],[Date]],Raw_Data[[Date]:[Sunset Time (POA&lt;20 W/m2)]],4,0),"")</f>
        <v>0.77083333333333337</v>
      </c>
      <c r="K1644" s="35">
        <f>IFERROR((TA[[#This Row],[Sunset Time (POA&lt;20 W/m2)]]-TA[[#This Row],[Sunrise Time (POA&gt;20 W/m2)]])*24,"")</f>
        <v>12.183333333333335</v>
      </c>
      <c r="L1644" s="2" t="s">
        <v>296</v>
      </c>
      <c r="M1644" s="42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27" t="s">
        <v>318</v>
      </c>
      <c r="Q1644" s="2" t="s">
        <v>321</v>
      </c>
      <c r="R1644">
        <v>133</v>
      </c>
      <c r="S1644" s="2">
        <v>26</v>
      </c>
      <c r="T1644" t="s">
        <v>297</v>
      </c>
      <c r="U1644" t="s">
        <v>300</v>
      </c>
      <c r="V1644" t="s">
        <v>314</v>
      </c>
      <c r="W1644" s="41">
        <f>IFERROR(VLOOKUP(TA[[#This Row],[Date]],Raw_Data[[Date]:[Sunset Time (POA&lt;20 W/m2)]],3,0),"")</f>
        <v>0.26319444444444445</v>
      </c>
      <c r="X1644" s="41">
        <f>IFERROR(VLOOKUP(TA[[#This Row],[Date]],Raw_Data[[Date]:[Sunset Time (POA&lt;20 W/m2)]],3,0),"")</f>
        <v>0.26319444444444445</v>
      </c>
      <c r="Y1644" s="34"/>
      <c r="Z1644" s="34">
        <v>0.76041666666666663</v>
      </c>
      <c r="AA1644" s="35">
        <f>IF(TA[[#This Row],[Work Start time on Fault]]="NA","",(TA[[#This Row],[Fault Acknowledgement Time ]]-TA[[#This Row],[Fault Time]])*24)</f>
        <v>0</v>
      </c>
      <c r="AB1644" s="35">
        <f>(TA[[#This Row],[Work Start time on Fault]]-TA[[#This Row],[Fault Time]])*24</f>
        <v>-6.3166666666666664</v>
      </c>
      <c r="AC1644" s="34">
        <f>(TA[[#This Row],[Work Completion time on fault]]-TA[[#This Row],[Fault Time]])*24</f>
        <v>11.933333333333332</v>
      </c>
      <c r="AD1644" s="35">
        <f>IFERROR((TA[[#This Row],[Work Completion time on fault]]-TA[[#This Row],[Fault Time]])*24,"")</f>
        <v>11.933333333333332</v>
      </c>
      <c r="AE1644" t="s">
        <v>328</v>
      </c>
      <c r="AF1644" t="s">
        <v>256</v>
      </c>
      <c r="AG1644" s="2"/>
      <c r="AH1644" s="44">
        <f>1-COS(RADIANS(TA[[#This Row],[Avg. Target Angle during Fault Time (Radians)]]-TA[[#This Row],[Angle of affected equipment ]]))</f>
        <v>0.11705240714107301</v>
      </c>
      <c r="AI1644" s="35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56">
        <f t="shared" si="207"/>
        <v>2026</v>
      </c>
      <c r="C1645" s="129">
        <f t="shared" si="208"/>
        <v>2025</v>
      </c>
      <c r="D1645" s="2" t="s">
        <v>155</v>
      </c>
      <c r="E1645" s="2" t="s">
        <v>155</v>
      </c>
      <c r="F1645" s="39">
        <v>45839</v>
      </c>
      <c r="G1645" s="2">
        <f>DAY(EOMONTH(TA[[#This Row],[Month Year]],0))</f>
        <v>31</v>
      </c>
      <c r="H1645" s="21">
        <v>45863</v>
      </c>
      <c r="I1645" s="41">
        <f>IFERROR(VLOOKUP(TA[[#This Row],[Date]],Raw_Data[[Date]:[Sunset Time (POA&lt;20 W/m2)]],3,0),"")</f>
        <v>0.26319444444444445</v>
      </c>
      <c r="J1645" s="41">
        <f>IFERROR(VLOOKUP(TA[[#This Row],[Date]],Raw_Data[[Date]:[Sunset Time (POA&lt;20 W/m2)]],4,0),"")</f>
        <v>0.77083333333333337</v>
      </c>
      <c r="K1645" s="35">
        <f>IFERROR((TA[[#This Row],[Sunset Time (POA&lt;20 W/m2)]]-TA[[#This Row],[Sunrise Time (POA&gt;20 W/m2)]])*24,"")</f>
        <v>12.183333333333335</v>
      </c>
      <c r="L1645" s="2" t="s">
        <v>294</v>
      </c>
      <c r="M1645" s="42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27" t="s">
        <v>316</v>
      </c>
      <c r="Q1645" s="126" t="s">
        <v>317</v>
      </c>
      <c r="R1645">
        <v>7</v>
      </c>
      <c r="S1645" s="2">
        <v>32</v>
      </c>
      <c r="T1645" t="s">
        <v>295</v>
      </c>
      <c r="U1645" t="s">
        <v>300</v>
      </c>
      <c r="V1645" t="s">
        <v>298</v>
      </c>
      <c r="W1645" s="41"/>
      <c r="X1645" s="41"/>
      <c r="Y1645" s="34"/>
      <c r="Z1645" s="34"/>
      <c r="AA1645" s="35">
        <f>IF(TA[[#This Row],[Work Start time on Fault]]="NA","",(TA[[#This Row],[Fault Acknowledgement Time ]]-TA[[#This Row],[Fault Time]])*24)</f>
        <v>0</v>
      </c>
      <c r="AB1645" s="35">
        <f>(TA[[#This Row],[Work Start time on Fault]]-TA[[#This Row],[Fault Time]])*24</f>
        <v>0</v>
      </c>
      <c r="AC1645" s="34">
        <f>(TA[[#This Row],[Work Completion time on fault]]-TA[[#This Row],[Fault Time]])*24</f>
        <v>0</v>
      </c>
      <c r="AD1645" s="35">
        <f>IFERROR((TA[[#This Row],[Work Completion time on fault]]-TA[[#This Row],[Fault Time]])*24,"")</f>
        <v>0</v>
      </c>
      <c r="AE1645" t="s">
        <v>328</v>
      </c>
      <c r="AF1645" t="s">
        <v>256</v>
      </c>
      <c r="AG1645" s="2"/>
      <c r="AH1645" s="44">
        <f>1-COS(RADIANS(TA[[#This Row],[Avg. Target Angle during Fault Time (Radians)]]-TA[[#This Row],[Angle of affected equipment ]]))</f>
        <v>0.11705240714107301</v>
      </c>
      <c r="AI1645" s="35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56">
        <f t="shared" si="207"/>
        <v>2026</v>
      </c>
      <c r="C1646" s="129">
        <f t="shared" si="208"/>
        <v>2025</v>
      </c>
      <c r="D1646" s="2" t="s">
        <v>155</v>
      </c>
      <c r="E1646" s="2" t="s">
        <v>155</v>
      </c>
      <c r="F1646" s="39">
        <v>45839</v>
      </c>
      <c r="G1646" s="2">
        <f>DAY(EOMONTH(TA[[#This Row],[Month Year]],0))</f>
        <v>31</v>
      </c>
      <c r="H1646" s="21">
        <v>45863</v>
      </c>
      <c r="I1646" s="41">
        <f>IFERROR(VLOOKUP(TA[[#This Row],[Date]],Raw_Data[[Date]:[Sunset Time (POA&lt;20 W/m2)]],3,0),"")</f>
        <v>0.26319444444444445</v>
      </c>
      <c r="J1646" s="41">
        <f>IFERROR(VLOOKUP(TA[[#This Row],[Date]],Raw_Data[[Date]:[Sunset Time (POA&lt;20 W/m2)]],4,0),"")</f>
        <v>0.77083333333333337</v>
      </c>
      <c r="K1646" s="35">
        <f>IFERROR((TA[[#This Row],[Sunset Time (POA&lt;20 W/m2)]]-TA[[#This Row],[Sunrise Time (POA&gt;20 W/m2)]])*24,"")</f>
        <v>12.183333333333335</v>
      </c>
      <c r="L1646" s="2" t="s">
        <v>294</v>
      </c>
      <c r="M1646" s="42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27" t="s">
        <v>315</v>
      </c>
      <c r="Q1646" s="126" t="s">
        <v>319</v>
      </c>
      <c r="R1646">
        <v>166</v>
      </c>
      <c r="S1646" s="2">
        <v>91</v>
      </c>
      <c r="T1646" t="s">
        <v>295</v>
      </c>
      <c r="U1646" t="s">
        <v>300</v>
      </c>
      <c r="V1646" t="s">
        <v>298</v>
      </c>
      <c r="W1646" s="41"/>
      <c r="X1646" s="41"/>
      <c r="Y1646" s="34"/>
      <c r="Z1646" s="34"/>
      <c r="AA1646" s="35">
        <f>IF(TA[[#This Row],[Work Start time on Fault]]="NA","",(TA[[#This Row],[Fault Acknowledgement Time ]]-TA[[#This Row],[Fault Time]])*24)</f>
        <v>0</v>
      </c>
      <c r="AB1646" s="35">
        <f>(TA[[#This Row],[Work Start time on Fault]]-TA[[#This Row],[Fault Time]])*24</f>
        <v>0</v>
      </c>
      <c r="AC1646" s="34">
        <f>(TA[[#This Row],[Work Completion time on fault]]-TA[[#This Row],[Fault Time]])*24</f>
        <v>0</v>
      </c>
      <c r="AD1646" s="35">
        <f>IFERROR((TA[[#This Row],[Work Completion time on fault]]-TA[[#This Row],[Fault Time]])*24,"")</f>
        <v>0</v>
      </c>
      <c r="AE1646" t="s">
        <v>328</v>
      </c>
      <c r="AF1646" t="s">
        <v>256</v>
      </c>
      <c r="AG1646" s="2"/>
      <c r="AH1646" s="44">
        <f>1-COS(RADIANS(TA[[#This Row],[Avg. Target Angle during Fault Time (Radians)]]-TA[[#This Row],[Angle of affected equipment ]]))</f>
        <v>0.11705240714107301</v>
      </c>
      <c r="AI1646" s="35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56">
        <f t="shared" si="207"/>
        <v>2026</v>
      </c>
      <c r="C1647" s="129">
        <f t="shared" si="208"/>
        <v>2025</v>
      </c>
      <c r="D1647" s="2" t="s">
        <v>155</v>
      </c>
      <c r="E1647" s="2" t="s">
        <v>155</v>
      </c>
      <c r="F1647" s="39">
        <v>45839</v>
      </c>
      <c r="G1647" s="2">
        <f>DAY(EOMONTH(TA[[#This Row],[Month Year]],0))</f>
        <v>31</v>
      </c>
      <c r="H1647" s="21">
        <v>45863</v>
      </c>
      <c r="I1647" s="41">
        <f>IFERROR(VLOOKUP(TA[[#This Row],[Date]],Raw_Data[[Date]:[Sunset Time (POA&lt;20 W/m2)]],3,0),"")</f>
        <v>0.26319444444444445</v>
      </c>
      <c r="J1647" s="41">
        <f>IFERROR(VLOOKUP(TA[[#This Row],[Date]],Raw_Data[[Date]:[Sunset Time (POA&lt;20 W/m2)]],4,0),"")</f>
        <v>0.77083333333333337</v>
      </c>
      <c r="K1647" s="35">
        <f>IFERROR((TA[[#This Row],[Sunset Time (POA&lt;20 W/m2)]]-TA[[#This Row],[Sunrise Time (POA&gt;20 W/m2)]])*24,"")</f>
        <v>12.183333333333335</v>
      </c>
      <c r="L1647" s="2" t="s">
        <v>294</v>
      </c>
      <c r="M1647" s="42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27" t="s">
        <v>316</v>
      </c>
      <c r="Q1647" s="126" t="s">
        <v>316</v>
      </c>
      <c r="R1647">
        <v>117</v>
      </c>
      <c r="S1647" s="2">
        <v>20</v>
      </c>
      <c r="T1647" t="s">
        <v>295</v>
      </c>
      <c r="U1647" t="s">
        <v>300</v>
      </c>
      <c r="V1647" t="s">
        <v>298</v>
      </c>
      <c r="W1647" s="41"/>
      <c r="X1647" s="41"/>
      <c r="Y1647" s="34"/>
      <c r="Z1647" s="34"/>
      <c r="AA1647" s="35">
        <f>IF(TA[[#This Row],[Work Start time on Fault]]="NA","",(TA[[#This Row],[Fault Acknowledgement Time ]]-TA[[#This Row],[Fault Time]])*24)</f>
        <v>0</v>
      </c>
      <c r="AB1647" s="35">
        <f>(TA[[#This Row],[Work Start time on Fault]]-TA[[#This Row],[Fault Time]])*24</f>
        <v>0</v>
      </c>
      <c r="AC1647" s="34">
        <f>(TA[[#This Row],[Work Completion time on fault]]-TA[[#This Row],[Fault Time]])*24</f>
        <v>0</v>
      </c>
      <c r="AD1647" s="35">
        <f>IFERROR((TA[[#This Row],[Work Completion time on fault]]-TA[[#This Row],[Fault Time]])*24,"")</f>
        <v>0</v>
      </c>
      <c r="AE1647" t="s">
        <v>328</v>
      </c>
      <c r="AF1647" t="s">
        <v>256</v>
      </c>
      <c r="AG1647" s="2"/>
      <c r="AH1647" s="44">
        <f>1-COS(RADIANS(TA[[#This Row],[Avg. Target Angle during Fault Time (Radians)]]-TA[[#This Row],[Angle of affected equipment ]]))</f>
        <v>0.11705240714107301</v>
      </c>
      <c r="AI1647" s="35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56">
        <f t="shared" si="207"/>
        <v>2026</v>
      </c>
      <c r="C1648" s="129">
        <f t="shared" si="208"/>
        <v>2025</v>
      </c>
      <c r="D1648" s="2" t="s">
        <v>155</v>
      </c>
      <c r="E1648" s="2" t="s">
        <v>155</v>
      </c>
      <c r="F1648" s="39">
        <v>45839</v>
      </c>
      <c r="G1648" s="2">
        <f>DAY(EOMONTH(TA[[#This Row],[Month Year]],0))</f>
        <v>31</v>
      </c>
      <c r="H1648" s="21">
        <v>45863</v>
      </c>
      <c r="I1648" s="41">
        <f>IFERROR(VLOOKUP(TA[[#This Row],[Date]],Raw_Data[[Date]:[Sunset Time (POA&lt;20 W/m2)]],3,0),"")</f>
        <v>0.26319444444444445</v>
      </c>
      <c r="J1648" s="41">
        <f>IFERROR(VLOOKUP(TA[[#This Row],[Date]],Raw_Data[[Date]:[Sunset Time (POA&lt;20 W/m2)]],4,0),"")</f>
        <v>0.77083333333333337</v>
      </c>
      <c r="K1648" s="35">
        <f>IFERROR((TA[[#This Row],[Sunset Time (POA&lt;20 W/m2)]]-TA[[#This Row],[Sunrise Time (POA&gt;20 W/m2)]])*24,"")</f>
        <v>12.183333333333335</v>
      </c>
      <c r="L1648" s="2" t="s">
        <v>294</v>
      </c>
      <c r="M1648" s="42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27" t="s">
        <v>316</v>
      </c>
      <c r="Q1648" s="126" t="s">
        <v>316</v>
      </c>
      <c r="R1648">
        <v>118</v>
      </c>
      <c r="S1648" s="2">
        <v>22</v>
      </c>
      <c r="T1648" t="s">
        <v>295</v>
      </c>
      <c r="U1648" t="s">
        <v>300</v>
      </c>
      <c r="V1648" t="s">
        <v>298</v>
      </c>
      <c r="W1648" s="41"/>
      <c r="X1648" s="41"/>
      <c r="Y1648" s="34"/>
      <c r="Z1648" s="34"/>
      <c r="AA1648" s="35">
        <f>IF(TA[[#This Row],[Work Start time on Fault]]="NA","",(TA[[#This Row],[Fault Acknowledgement Time ]]-TA[[#This Row],[Fault Time]])*24)</f>
        <v>0</v>
      </c>
      <c r="AB1648" s="35">
        <f>(TA[[#This Row],[Work Start time on Fault]]-TA[[#This Row],[Fault Time]])*24</f>
        <v>0</v>
      </c>
      <c r="AC1648" s="34">
        <f>(TA[[#This Row],[Work Completion time on fault]]-TA[[#This Row],[Fault Time]])*24</f>
        <v>0</v>
      </c>
      <c r="AD1648" s="35">
        <f>IFERROR((TA[[#This Row],[Work Completion time on fault]]-TA[[#This Row],[Fault Time]])*24,"")</f>
        <v>0</v>
      </c>
      <c r="AE1648" t="s">
        <v>328</v>
      </c>
      <c r="AF1648" t="s">
        <v>256</v>
      </c>
      <c r="AG1648" s="2"/>
      <c r="AH1648" s="44">
        <f>1-COS(RADIANS(TA[[#This Row],[Avg. Target Angle during Fault Time (Radians)]]-TA[[#This Row],[Angle of affected equipment ]]))</f>
        <v>0.11705240714107301</v>
      </c>
      <c r="AI1648" s="35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56">
        <f t="shared" si="207"/>
        <v>2026</v>
      </c>
      <c r="C1649" s="129">
        <f t="shared" si="208"/>
        <v>2025</v>
      </c>
      <c r="D1649" s="2" t="s">
        <v>155</v>
      </c>
      <c r="E1649" s="2" t="s">
        <v>155</v>
      </c>
      <c r="F1649" s="39">
        <v>45839</v>
      </c>
      <c r="G1649" s="2">
        <f>DAY(EOMONTH(TA[[#This Row],[Month Year]],0))</f>
        <v>31</v>
      </c>
      <c r="H1649" s="21">
        <v>45863</v>
      </c>
      <c r="I1649" s="41">
        <f>IFERROR(VLOOKUP(TA[[#This Row],[Date]],Raw_Data[[Date]:[Sunset Time (POA&lt;20 W/m2)]],3,0),"")</f>
        <v>0.26319444444444445</v>
      </c>
      <c r="J1649" s="41">
        <f>IFERROR(VLOOKUP(TA[[#This Row],[Date]],Raw_Data[[Date]:[Sunset Time (POA&lt;20 W/m2)]],4,0),"")</f>
        <v>0.77083333333333337</v>
      </c>
      <c r="K1649" s="35">
        <f>IFERROR((TA[[#This Row],[Sunset Time (POA&lt;20 W/m2)]]-TA[[#This Row],[Sunrise Time (POA&gt;20 W/m2)]])*24,"")</f>
        <v>12.183333333333335</v>
      </c>
      <c r="L1649" s="2" t="s">
        <v>296</v>
      </c>
      <c r="M1649" s="42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323</v>
      </c>
      <c r="Q1649" s="2" t="s">
        <v>329</v>
      </c>
      <c r="R1649">
        <v>45</v>
      </c>
      <c r="S1649" s="2">
        <v>8</v>
      </c>
      <c r="T1649" t="s">
        <v>297</v>
      </c>
      <c r="U1649" t="s">
        <v>300</v>
      </c>
      <c r="V1649" t="s">
        <v>301</v>
      </c>
      <c r="W1649" s="41"/>
      <c r="X1649" s="41"/>
      <c r="Y1649" s="34"/>
      <c r="Z1649" s="34"/>
      <c r="AA1649" s="35">
        <f>IF(TA[[#This Row],[Work Start time on Fault]]="NA","",(TA[[#This Row],[Fault Acknowledgement Time ]]-TA[[#This Row],[Fault Time]])*24)</f>
        <v>0</v>
      </c>
      <c r="AB1649" s="35">
        <f>(TA[[#This Row],[Work Start time on Fault]]-TA[[#This Row],[Fault Time]])*24</f>
        <v>0</v>
      </c>
      <c r="AC1649" s="34">
        <f>(TA[[#This Row],[Work Completion time on fault]]-TA[[#This Row],[Fault Time]])*24</f>
        <v>0</v>
      </c>
      <c r="AD1649" s="35">
        <f>IFERROR((TA[[#This Row],[Work Completion time on fault]]-TA[[#This Row],[Fault Time]])*24,"")</f>
        <v>0</v>
      </c>
      <c r="AE1649" t="s">
        <v>328</v>
      </c>
      <c r="AF1649" t="s">
        <v>256</v>
      </c>
      <c r="AG1649" s="2"/>
      <c r="AH1649" s="44">
        <f>1-COS(RADIANS(TA[[#This Row],[Avg. Target Angle during Fault Time (Radians)]]-TA[[#This Row],[Angle of affected equipment ]]))</f>
        <v>0.11705240714107301</v>
      </c>
      <c r="AI1649" s="35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56">
        <f t="shared" si="207"/>
        <v>2026</v>
      </c>
      <c r="C1650" s="129">
        <f t="shared" si="208"/>
        <v>2025</v>
      </c>
      <c r="D1650" s="2" t="s">
        <v>155</v>
      </c>
      <c r="E1650" s="2" t="s">
        <v>155</v>
      </c>
      <c r="F1650" s="39">
        <v>45839</v>
      </c>
      <c r="G1650" s="2">
        <f>DAY(EOMONTH(TA[[#This Row],[Month Year]],0))</f>
        <v>31</v>
      </c>
      <c r="H1650" s="21">
        <v>45863</v>
      </c>
      <c r="I1650" s="41">
        <f>IFERROR(VLOOKUP(TA[[#This Row],[Date]],Raw_Data[[Date]:[Sunset Time (POA&lt;20 W/m2)]],3,0),"")</f>
        <v>0.26319444444444445</v>
      </c>
      <c r="J1650" s="41">
        <f>IFERROR(VLOOKUP(TA[[#This Row],[Date]],Raw_Data[[Date]:[Sunset Time (POA&lt;20 W/m2)]],4,0),"")</f>
        <v>0.77083333333333337</v>
      </c>
      <c r="K1650" s="35">
        <f>IFERROR((TA[[#This Row],[Sunset Time (POA&lt;20 W/m2)]]-TA[[#This Row],[Sunrise Time (POA&gt;20 W/m2)]])*24,"")</f>
        <v>12.183333333333335</v>
      </c>
      <c r="L1650" s="2" t="s">
        <v>296</v>
      </c>
      <c r="M1650" s="42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323</v>
      </c>
      <c r="Q1650" s="2" t="s">
        <v>329</v>
      </c>
      <c r="R1650">
        <v>47</v>
      </c>
      <c r="S1650" s="2">
        <v>18</v>
      </c>
      <c r="T1650" t="s">
        <v>297</v>
      </c>
      <c r="U1650" t="s">
        <v>300</v>
      </c>
      <c r="V1650" t="s">
        <v>301</v>
      </c>
      <c r="W1650" s="41"/>
      <c r="X1650" s="41"/>
      <c r="Y1650" s="34"/>
      <c r="Z1650" s="34"/>
      <c r="AA1650" s="35">
        <f>IF(TA[[#This Row],[Work Start time on Fault]]="NA","",(TA[[#This Row],[Fault Acknowledgement Time ]]-TA[[#This Row],[Fault Time]])*24)</f>
        <v>0</v>
      </c>
      <c r="AB1650" s="35">
        <f>(TA[[#This Row],[Work Start time on Fault]]-TA[[#This Row],[Fault Time]])*24</f>
        <v>0</v>
      </c>
      <c r="AC1650" s="34">
        <f>(TA[[#This Row],[Work Completion time on fault]]-TA[[#This Row],[Fault Time]])*24</f>
        <v>0</v>
      </c>
      <c r="AD1650" s="35">
        <f>IFERROR((TA[[#This Row],[Work Completion time on fault]]-TA[[#This Row],[Fault Time]])*24,"")</f>
        <v>0</v>
      </c>
      <c r="AE1650" t="s">
        <v>328</v>
      </c>
      <c r="AF1650" t="s">
        <v>256</v>
      </c>
      <c r="AG1650" s="2"/>
      <c r="AH1650" s="44">
        <f>1-COS(RADIANS(TA[[#This Row],[Avg. Target Angle during Fault Time (Radians)]]-TA[[#This Row],[Angle of affected equipment ]]))</f>
        <v>0.11705240714107301</v>
      </c>
      <c r="AI1650" s="35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56">
        <f t="shared" si="207"/>
        <v>2026</v>
      </c>
      <c r="C1651" s="129">
        <f t="shared" si="208"/>
        <v>2025</v>
      </c>
      <c r="D1651" s="2" t="s">
        <v>155</v>
      </c>
      <c r="E1651" s="2" t="s">
        <v>155</v>
      </c>
      <c r="F1651" s="39">
        <v>45839</v>
      </c>
      <c r="G1651" s="2">
        <f>DAY(EOMONTH(TA[[#This Row],[Month Year]],0))</f>
        <v>31</v>
      </c>
      <c r="H1651" s="21">
        <v>45863</v>
      </c>
      <c r="I1651" s="41">
        <f>IFERROR(VLOOKUP(TA[[#This Row],[Date]],Raw_Data[[Date]:[Sunset Time (POA&lt;20 W/m2)]],3,0),"")</f>
        <v>0.26319444444444445</v>
      </c>
      <c r="J1651" s="41">
        <f>IFERROR(VLOOKUP(TA[[#This Row],[Date]],Raw_Data[[Date]:[Sunset Time (POA&lt;20 W/m2)]],4,0),"")</f>
        <v>0.77083333333333337</v>
      </c>
      <c r="K1651" s="35">
        <f>IFERROR((TA[[#This Row],[Sunset Time (POA&lt;20 W/m2)]]-TA[[#This Row],[Sunrise Time (POA&gt;20 W/m2)]])*24,"")</f>
        <v>12.183333333333335</v>
      </c>
      <c r="L1651" s="2" t="s">
        <v>296</v>
      </c>
      <c r="M1651" s="42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330</v>
      </c>
      <c r="Q1651" s="2" t="s">
        <v>323</v>
      </c>
      <c r="R1651">
        <v>30</v>
      </c>
      <c r="S1651" s="2">
        <v>57</v>
      </c>
      <c r="T1651" t="s">
        <v>297</v>
      </c>
      <c r="U1651" t="s">
        <v>300</v>
      </c>
      <c r="V1651" t="s">
        <v>301</v>
      </c>
      <c r="W1651" s="41"/>
      <c r="X1651" s="41"/>
      <c r="Y1651" s="34"/>
      <c r="Z1651" s="34"/>
      <c r="AA1651" s="35">
        <f>IF(TA[[#This Row],[Work Start time on Fault]]="NA","",(TA[[#This Row],[Fault Acknowledgement Time ]]-TA[[#This Row],[Fault Time]])*24)</f>
        <v>0</v>
      </c>
      <c r="AB1651" s="35">
        <f>(TA[[#This Row],[Work Start time on Fault]]-TA[[#This Row],[Fault Time]])*24</f>
        <v>0</v>
      </c>
      <c r="AC1651" s="34">
        <f>(TA[[#This Row],[Work Completion time on fault]]-TA[[#This Row],[Fault Time]])*24</f>
        <v>0</v>
      </c>
      <c r="AD1651" s="35">
        <f>IFERROR((TA[[#This Row],[Work Completion time on fault]]-TA[[#This Row],[Fault Time]])*24,"")</f>
        <v>0</v>
      </c>
      <c r="AE1651" t="s">
        <v>328</v>
      </c>
      <c r="AF1651" t="s">
        <v>256</v>
      </c>
      <c r="AG1651" s="2"/>
      <c r="AH1651" s="44">
        <f>1-COS(RADIANS(TA[[#This Row],[Avg. Target Angle during Fault Time (Radians)]]-TA[[#This Row],[Angle of affected equipment ]]))</f>
        <v>0.11705240714107301</v>
      </c>
      <c r="AI1651" s="35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56">
        <f t="shared" si="207"/>
        <v>2026</v>
      </c>
      <c r="C1652" s="129">
        <f t="shared" si="208"/>
        <v>2025</v>
      </c>
      <c r="D1652" s="2" t="s">
        <v>155</v>
      </c>
      <c r="E1652" s="2" t="s">
        <v>155</v>
      </c>
      <c r="F1652" s="39">
        <v>45839</v>
      </c>
      <c r="G1652" s="2">
        <f>DAY(EOMONTH(TA[[#This Row],[Month Year]],0))</f>
        <v>31</v>
      </c>
      <c r="H1652" s="21">
        <v>45863</v>
      </c>
      <c r="I1652" s="41">
        <f>IFERROR(VLOOKUP(TA[[#This Row],[Date]],Raw_Data[[Date]:[Sunset Time (POA&lt;20 W/m2)]],3,0),"")</f>
        <v>0.26319444444444445</v>
      </c>
      <c r="J1652" s="41">
        <f>IFERROR(VLOOKUP(TA[[#This Row],[Date]],Raw_Data[[Date]:[Sunset Time (POA&lt;20 W/m2)]],4,0),"")</f>
        <v>0.77083333333333337</v>
      </c>
      <c r="K1652" s="35">
        <f>IFERROR((TA[[#This Row],[Sunset Time (POA&lt;20 W/m2)]]-TA[[#This Row],[Sunrise Time (POA&gt;20 W/m2)]])*24,"")</f>
        <v>12.183333333333335</v>
      </c>
      <c r="L1652" s="2" t="s">
        <v>296</v>
      </c>
      <c r="M1652" s="42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330</v>
      </c>
      <c r="Q1652" s="2" t="s">
        <v>323</v>
      </c>
      <c r="R1652">
        <v>31</v>
      </c>
      <c r="S1652" s="2">
        <v>61</v>
      </c>
      <c r="T1652" t="s">
        <v>297</v>
      </c>
      <c r="U1652" t="s">
        <v>300</v>
      </c>
      <c r="V1652" t="s">
        <v>301</v>
      </c>
      <c r="W1652" s="41"/>
      <c r="X1652" s="41"/>
      <c r="Y1652" s="34"/>
      <c r="Z1652" s="34"/>
      <c r="AA1652" s="35">
        <f>IF(TA[[#This Row],[Work Start time on Fault]]="NA","",(TA[[#This Row],[Fault Acknowledgement Time ]]-TA[[#This Row],[Fault Time]])*24)</f>
        <v>0</v>
      </c>
      <c r="AB1652" s="35">
        <f>(TA[[#This Row],[Work Start time on Fault]]-TA[[#This Row],[Fault Time]])*24</f>
        <v>0</v>
      </c>
      <c r="AC1652" s="34">
        <f>(TA[[#This Row],[Work Completion time on fault]]-TA[[#This Row],[Fault Time]])*24</f>
        <v>0</v>
      </c>
      <c r="AD1652" s="35">
        <f>IFERROR((TA[[#This Row],[Work Completion time on fault]]-TA[[#This Row],[Fault Time]])*24,"")</f>
        <v>0</v>
      </c>
      <c r="AE1652" t="s">
        <v>328</v>
      </c>
      <c r="AF1652" t="s">
        <v>256</v>
      </c>
      <c r="AG1652" s="2"/>
      <c r="AH1652" s="44">
        <f>1-COS(RADIANS(TA[[#This Row],[Avg. Target Angle during Fault Time (Radians)]]-TA[[#This Row],[Angle of affected equipment ]]))</f>
        <v>0.11705240714107301</v>
      </c>
      <c r="AI1652" s="35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56">
        <f t="shared" si="207"/>
        <v>2026</v>
      </c>
      <c r="C1653" s="129">
        <f t="shared" si="208"/>
        <v>2025</v>
      </c>
      <c r="D1653" s="2" t="s">
        <v>155</v>
      </c>
      <c r="E1653" s="2" t="s">
        <v>155</v>
      </c>
      <c r="F1653" s="39">
        <v>45839</v>
      </c>
      <c r="G1653" s="2">
        <f>DAY(EOMONTH(TA[[#This Row],[Month Year]],0))</f>
        <v>31</v>
      </c>
      <c r="H1653" s="21">
        <v>45863</v>
      </c>
      <c r="I1653" s="41">
        <f>IFERROR(VLOOKUP(TA[[#This Row],[Date]],Raw_Data[[Date]:[Sunset Time (POA&lt;20 W/m2)]],3,0),"")</f>
        <v>0.26319444444444445</v>
      </c>
      <c r="J1653" s="41">
        <f>IFERROR(VLOOKUP(TA[[#This Row],[Date]],Raw_Data[[Date]:[Sunset Time (POA&lt;20 W/m2)]],4,0),"")</f>
        <v>0.77083333333333337</v>
      </c>
      <c r="K1653" s="35">
        <f>IFERROR((TA[[#This Row],[Sunset Time (POA&lt;20 W/m2)]]-TA[[#This Row],[Sunrise Time (POA&gt;20 W/m2)]])*24,"")</f>
        <v>12.183333333333335</v>
      </c>
      <c r="L1653" s="2" t="s">
        <v>312</v>
      </c>
      <c r="M1653" s="42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330</v>
      </c>
      <c r="Q1653" s="2" t="s">
        <v>323</v>
      </c>
      <c r="R1653">
        <v>26</v>
      </c>
      <c r="S1653" s="2">
        <v>37</v>
      </c>
      <c r="T1653" t="s">
        <v>297</v>
      </c>
      <c r="U1653" t="s">
        <v>300</v>
      </c>
      <c r="V1653" t="s">
        <v>301</v>
      </c>
      <c r="W1653" s="41"/>
      <c r="X1653" s="41"/>
      <c r="Y1653" s="34"/>
      <c r="Z1653" s="34"/>
      <c r="AA1653" s="35">
        <f>IF(TA[[#This Row],[Work Start time on Fault]]="NA","",(TA[[#This Row],[Fault Acknowledgement Time ]]-TA[[#This Row],[Fault Time]])*24)</f>
        <v>0</v>
      </c>
      <c r="AB1653" s="35">
        <f>(TA[[#This Row],[Work Start time on Fault]]-TA[[#This Row],[Fault Time]])*24</f>
        <v>0</v>
      </c>
      <c r="AC1653" s="34">
        <f>(TA[[#This Row],[Work Completion time on fault]]-TA[[#This Row],[Fault Time]])*24</f>
        <v>0</v>
      </c>
      <c r="AD1653" s="35">
        <f>IFERROR((TA[[#This Row],[Work Completion time on fault]]-TA[[#This Row],[Fault Time]])*24,"")</f>
        <v>0</v>
      </c>
      <c r="AE1653" t="s">
        <v>328</v>
      </c>
      <c r="AF1653" t="s">
        <v>256</v>
      </c>
      <c r="AG1653" s="2"/>
      <c r="AH1653" s="44">
        <f>1-COS(RADIANS(TA[[#This Row],[Avg. Target Angle during Fault Time (Radians)]]-TA[[#This Row],[Angle of affected equipment ]]))</f>
        <v>0.11705240714107301</v>
      </c>
      <c r="AI1653" s="35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56">
        <f t="shared" si="207"/>
        <v>2026</v>
      </c>
      <c r="C1654" s="129">
        <f t="shared" si="208"/>
        <v>2025</v>
      </c>
      <c r="D1654" s="2" t="s">
        <v>155</v>
      </c>
      <c r="E1654" s="2" t="s">
        <v>155</v>
      </c>
      <c r="F1654" s="39">
        <v>45839</v>
      </c>
      <c r="G1654" s="2">
        <f>DAY(EOMONTH(TA[[#This Row],[Month Year]],0))</f>
        <v>31</v>
      </c>
      <c r="H1654" s="21">
        <v>45863</v>
      </c>
      <c r="I1654" s="41">
        <f>IFERROR(VLOOKUP(TA[[#This Row],[Date]],Raw_Data[[Date]:[Sunset Time (POA&lt;20 W/m2)]],3,0),"")</f>
        <v>0.26319444444444445</v>
      </c>
      <c r="J1654" s="41">
        <f>IFERROR(VLOOKUP(TA[[#This Row],[Date]],Raw_Data[[Date]:[Sunset Time (POA&lt;20 W/m2)]],4,0),"")</f>
        <v>0.77083333333333337</v>
      </c>
      <c r="K1654" s="35">
        <f>IFERROR((TA[[#This Row],[Sunset Time (POA&lt;20 W/m2)]]-TA[[#This Row],[Sunrise Time (POA&gt;20 W/m2)]])*24,"")</f>
        <v>12.183333333333335</v>
      </c>
      <c r="L1654" s="2" t="s">
        <v>312</v>
      </c>
      <c r="M1654" s="42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330</v>
      </c>
      <c r="Q1654" s="2" t="s">
        <v>323</v>
      </c>
      <c r="R1654">
        <v>27</v>
      </c>
      <c r="S1654" s="2">
        <v>42</v>
      </c>
      <c r="T1654" t="s">
        <v>297</v>
      </c>
      <c r="U1654" t="s">
        <v>300</v>
      </c>
      <c r="V1654" t="s">
        <v>301</v>
      </c>
      <c r="W1654" s="41">
        <f>IFERROR(VLOOKUP(TA[[#This Row],[Date]],Raw_Data[[Date]:[Sunset Time (POA&lt;20 W/m2)]],3,0),"")</f>
        <v>0.26319444444444445</v>
      </c>
      <c r="X1654" s="41">
        <f>IFERROR(VLOOKUP(TA[[#This Row],[Date]],Raw_Data[[Date]:[Sunset Time (POA&lt;20 W/m2)]],3,0),"")</f>
        <v>0.26319444444444445</v>
      </c>
      <c r="Y1654" s="34"/>
      <c r="Z1654" s="34">
        <v>0.76041666666666663</v>
      </c>
      <c r="AA1654" s="35">
        <f>IF(TA[[#This Row],[Work Start time on Fault]]="NA","",(TA[[#This Row],[Fault Acknowledgement Time ]]-TA[[#This Row],[Fault Time]])*24)</f>
        <v>0</v>
      </c>
      <c r="AB1654" s="35">
        <f>(TA[[#This Row],[Work Start time on Fault]]-TA[[#This Row],[Fault Time]])*24</f>
        <v>-6.3166666666666664</v>
      </c>
      <c r="AC1654" s="34">
        <f>(TA[[#This Row],[Work Completion time on fault]]-TA[[#This Row],[Fault Time]])*24</f>
        <v>11.933333333333332</v>
      </c>
      <c r="AD1654" s="35">
        <f>IFERROR((TA[[#This Row],[Work Completion time on fault]]-TA[[#This Row],[Fault Time]])*24,"")</f>
        <v>11.933333333333332</v>
      </c>
      <c r="AE1654" t="s">
        <v>309</v>
      </c>
      <c r="AF1654" t="s">
        <v>256</v>
      </c>
      <c r="AG1654" s="2"/>
      <c r="AH1654" s="44">
        <f>1-COS(RADIANS(TA[[#This Row],[Avg. Target Angle during Fault Time (Radians)]]-TA[[#This Row],[Angle of affected equipment ]]))</f>
        <v>0.11705240714107301</v>
      </c>
      <c r="AI1654" s="35">
        <f>IFERROR(TA[[#This Row],[Breakdown Time]]*TA[[#This Row],[Plant Equivalent Weightage]],"")</f>
        <v>6.8582375478927204E-2</v>
      </c>
    </row>
    <row r="1655" spans="1:35">
      <c r="A1655" s="2">
        <f t="shared" si="209"/>
        <v>1652</v>
      </c>
      <c r="B1655" s="156">
        <f t="shared" si="207"/>
        <v>2026</v>
      </c>
      <c r="C1655" s="129">
        <f t="shared" si="208"/>
        <v>2025</v>
      </c>
      <c r="D1655" s="2" t="s">
        <v>155</v>
      </c>
      <c r="E1655" s="2" t="s">
        <v>155</v>
      </c>
      <c r="F1655" s="39">
        <v>45839</v>
      </c>
      <c r="G1655" s="2">
        <f>DAY(EOMONTH(TA[[#This Row],[Month Year]],0))</f>
        <v>31</v>
      </c>
      <c r="H1655" s="21">
        <v>45864</v>
      </c>
      <c r="I1655" s="41">
        <f>IFERROR(VLOOKUP(TA[[#This Row],[Date]],Raw_Data[[Date]:[Sunset Time (POA&lt;20 W/m2)]],3,0),"")</f>
        <v>0.27430555555555558</v>
      </c>
      <c r="J1655" s="41">
        <f>IFERROR(VLOOKUP(TA[[#This Row],[Date]],Raw_Data[[Date]:[Sunset Time (POA&lt;20 W/m2)]],4,0),"")</f>
        <v>0.77361111111111114</v>
      </c>
      <c r="K1655" s="35">
        <f>IFERROR((TA[[#This Row],[Sunset Time (POA&lt;20 W/m2)]]-TA[[#This Row],[Sunrise Time (POA&gt;20 W/m2)]])*24,"")</f>
        <v>11.983333333333334</v>
      </c>
      <c r="L1655" s="2" t="s">
        <v>294</v>
      </c>
      <c r="M1655" s="42">
        <f>IFERROR(VLOOKUP(TA[[#This Row],[Affected Equipment]],'Basic Data'!$I$2:$K$40,3,0),"")</f>
        <v>1.7241379310344799E-3</v>
      </c>
      <c r="N1655">
        <v>-28</v>
      </c>
      <c r="O1655" t="s">
        <v>135</v>
      </c>
      <c r="P1655" s="127" t="s">
        <v>318</v>
      </c>
      <c r="Q1655" s="126" t="s">
        <v>318</v>
      </c>
      <c r="R1655">
        <v>131</v>
      </c>
      <c r="S1655" s="2">
        <v>38</v>
      </c>
      <c r="T1655" t="s">
        <v>295</v>
      </c>
      <c r="U1655" t="s">
        <v>300</v>
      </c>
      <c r="V1655" t="s">
        <v>298</v>
      </c>
      <c r="W1655" s="41"/>
      <c r="X1655" s="41"/>
      <c r="Y1655" s="34"/>
      <c r="Z1655" s="34"/>
      <c r="AA1655" s="35">
        <f>IF(TA[[#This Row],[Work Start time on Fault]]="NA","",(TA[[#This Row],[Fault Acknowledgement Time ]]-TA[[#This Row],[Fault Time]])*24)</f>
        <v>0</v>
      </c>
      <c r="AB1655" s="35">
        <f>(TA[[#This Row],[Work Start time on Fault]]-TA[[#This Row],[Fault Time]])*24</f>
        <v>0</v>
      </c>
      <c r="AC1655" s="34">
        <f>(TA[[#This Row],[Work Completion time on fault]]-TA[[#This Row],[Fault Time]])*24</f>
        <v>0</v>
      </c>
      <c r="AD1655" s="35">
        <f>IFERROR((TA[[#This Row],[Work Completion time on fault]]-TA[[#This Row],[Fault Time]])*24,"")</f>
        <v>0</v>
      </c>
      <c r="AE1655" t="s">
        <v>328</v>
      </c>
      <c r="AF1655" t="s">
        <v>256</v>
      </c>
      <c r="AG1655" s="2"/>
      <c r="AH1655" s="44">
        <f>1-COS(RADIANS(TA[[#This Row],[Avg. Target Angle during Fault Time (Radians)]]-TA[[#This Row],[Angle of affected equipment ]]))</f>
        <v>0.11705240714107301</v>
      </c>
      <c r="AI1655" s="35">
        <f>IFERROR(TA[[#This Row],[Breakdown Time]]*TA[[#This Row],[Plant Equivalent Weightage]],"")</f>
        <v>0</v>
      </c>
    </row>
    <row r="1656" spans="1:35">
      <c r="A1656" s="2">
        <f t="shared" si="209"/>
        <v>1653</v>
      </c>
      <c r="B1656" s="156">
        <f t="shared" si="207"/>
        <v>2026</v>
      </c>
      <c r="C1656" s="129">
        <f t="shared" si="208"/>
        <v>2025</v>
      </c>
      <c r="D1656" s="2" t="s">
        <v>155</v>
      </c>
      <c r="E1656" s="2" t="s">
        <v>155</v>
      </c>
      <c r="F1656" s="39">
        <v>45839</v>
      </c>
      <c r="G1656" s="2">
        <f>DAY(EOMONTH(TA[[#This Row],[Month Year]],0))</f>
        <v>31</v>
      </c>
      <c r="H1656" s="21">
        <v>45864</v>
      </c>
      <c r="I1656" s="41">
        <f>IFERROR(VLOOKUP(TA[[#This Row],[Date]],Raw_Data[[Date]:[Sunset Time (POA&lt;20 W/m2)]],3,0),"")</f>
        <v>0.27430555555555558</v>
      </c>
      <c r="J1656" s="41">
        <f>IFERROR(VLOOKUP(TA[[#This Row],[Date]],Raw_Data[[Date]:[Sunset Time (POA&lt;20 W/m2)]],4,0),"")</f>
        <v>0.77361111111111114</v>
      </c>
      <c r="K1656" s="35">
        <f>IFERROR((TA[[#This Row],[Sunset Time (POA&lt;20 W/m2)]]-TA[[#This Row],[Sunrise Time (POA&gt;20 W/m2)]])*24,"")</f>
        <v>11.983333333333334</v>
      </c>
      <c r="L1656" s="2" t="s">
        <v>294</v>
      </c>
      <c r="M1656" s="42">
        <f>IFERROR(VLOOKUP(TA[[#This Row],[Affected Equipment]],'Basic Data'!$I$2:$K$40,3,0),"")</f>
        <v>1.7241379310344799E-3</v>
      </c>
      <c r="N1656">
        <v>-28</v>
      </c>
      <c r="O1656" t="s">
        <v>135</v>
      </c>
      <c r="P1656" s="127" t="s">
        <v>318</v>
      </c>
      <c r="Q1656" s="126" t="s">
        <v>318</v>
      </c>
      <c r="R1656">
        <v>131</v>
      </c>
      <c r="S1656" s="2">
        <v>39</v>
      </c>
      <c r="T1656" t="s">
        <v>295</v>
      </c>
      <c r="U1656" t="s">
        <v>300</v>
      </c>
      <c r="V1656" t="s">
        <v>298</v>
      </c>
      <c r="W1656" s="41"/>
      <c r="X1656" s="41"/>
      <c r="Y1656" s="34"/>
      <c r="Z1656" s="34"/>
      <c r="AA1656" s="35">
        <f>IF(TA[[#This Row],[Work Start time on Fault]]="NA","",(TA[[#This Row],[Fault Acknowledgement Time ]]-TA[[#This Row],[Fault Time]])*24)</f>
        <v>0</v>
      </c>
      <c r="AB1656" s="35">
        <f>(TA[[#This Row],[Work Start time on Fault]]-TA[[#This Row],[Fault Time]])*24</f>
        <v>0</v>
      </c>
      <c r="AC1656" s="34">
        <f>(TA[[#This Row],[Work Completion time on fault]]-TA[[#This Row],[Fault Time]])*24</f>
        <v>0</v>
      </c>
      <c r="AD1656" s="35">
        <f>IFERROR((TA[[#This Row],[Work Completion time on fault]]-TA[[#This Row],[Fault Time]])*24,"")</f>
        <v>0</v>
      </c>
      <c r="AE1656" t="s">
        <v>328</v>
      </c>
      <c r="AF1656" t="s">
        <v>256</v>
      </c>
      <c r="AG1656" s="2"/>
      <c r="AH1656" s="44">
        <f>1-COS(RADIANS(TA[[#This Row],[Avg. Target Angle during Fault Time (Radians)]]-TA[[#This Row],[Angle of affected equipment ]]))</f>
        <v>0.11705240714107301</v>
      </c>
      <c r="AI1656" s="35">
        <f>IFERROR(TA[[#This Row],[Breakdown Time]]*TA[[#This Row],[Plant Equivalent Weightage]],"")</f>
        <v>0</v>
      </c>
    </row>
    <row r="1657" spans="1:35">
      <c r="A1657" s="2">
        <f t="shared" si="209"/>
        <v>1654</v>
      </c>
      <c r="B1657" s="156">
        <f t="shared" si="207"/>
        <v>2026</v>
      </c>
      <c r="C1657" s="129">
        <f t="shared" si="208"/>
        <v>2025</v>
      </c>
      <c r="D1657" s="2" t="s">
        <v>155</v>
      </c>
      <c r="E1657" s="2" t="s">
        <v>155</v>
      </c>
      <c r="F1657" s="39">
        <v>45839</v>
      </c>
      <c r="G1657" s="2">
        <f>DAY(EOMONTH(TA[[#This Row],[Month Year]],0))</f>
        <v>31</v>
      </c>
      <c r="H1657" s="21">
        <v>45864</v>
      </c>
      <c r="I1657" s="41">
        <f>IFERROR(VLOOKUP(TA[[#This Row],[Date]],Raw_Data[[Date]:[Sunset Time (POA&lt;20 W/m2)]],3,0),"")</f>
        <v>0.27430555555555558</v>
      </c>
      <c r="J1657" s="41">
        <f>IFERROR(VLOOKUP(TA[[#This Row],[Date]],Raw_Data[[Date]:[Sunset Time (POA&lt;20 W/m2)]],4,0),"")</f>
        <v>0.77361111111111114</v>
      </c>
      <c r="K1657" s="35">
        <f>IFERROR((TA[[#This Row],[Sunset Time (POA&lt;20 W/m2)]]-TA[[#This Row],[Sunrise Time (POA&gt;20 W/m2)]])*24,"")</f>
        <v>11.983333333333334</v>
      </c>
      <c r="L1657" s="2" t="s">
        <v>296</v>
      </c>
      <c r="M1657" s="42">
        <f>IFERROR(VLOOKUP(TA[[#This Row],[Affected Equipment]],'Basic Data'!$I$2:$K$40,3,0),"")</f>
        <v>8.6206896551724102E-3</v>
      </c>
      <c r="N1657">
        <v>-28</v>
      </c>
      <c r="O1657" t="s">
        <v>135</v>
      </c>
      <c r="P1657" s="127" t="s">
        <v>318</v>
      </c>
      <c r="Q1657" s="2" t="s">
        <v>321</v>
      </c>
      <c r="R1657">
        <v>133</v>
      </c>
      <c r="S1657" s="2">
        <v>26</v>
      </c>
      <c r="T1657" t="s">
        <v>297</v>
      </c>
      <c r="U1657" t="s">
        <v>300</v>
      </c>
      <c r="V1657" t="s">
        <v>314</v>
      </c>
      <c r="W1657" s="41">
        <f>IFERROR(VLOOKUP(TA[[#This Row],[Date]],Raw_Data[[Date]:[Sunset Time (POA&lt;20 W/m2)]],3,0),"")</f>
        <v>0.27430555555555558</v>
      </c>
      <c r="X1657" s="41">
        <f>IFERROR(VLOOKUP(TA[[#This Row],[Date]],Raw_Data[[Date]:[Sunset Time (POA&lt;20 W/m2)]],3,0),"")</f>
        <v>0.27430555555555558</v>
      </c>
      <c r="Y1657" s="34"/>
      <c r="Z1657" s="34">
        <v>0.76041666666666663</v>
      </c>
      <c r="AA1657" s="35">
        <f>IF(TA[[#This Row],[Work Start time on Fault]]="NA","",(TA[[#This Row],[Fault Acknowledgement Time ]]-TA[[#This Row],[Fault Time]])*24)</f>
        <v>0</v>
      </c>
      <c r="AB1657" s="35">
        <f>(TA[[#This Row],[Work Start time on Fault]]-TA[[#This Row],[Fault Time]])*24</f>
        <v>-6.5833333333333339</v>
      </c>
      <c r="AC1657" s="34">
        <f>(TA[[#This Row],[Work Completion time on fault]]-TA[[#This Row],[Fault Time]])*24</f>
        <v>11.666666666666664</v>
      </c>
      <c r="AD1657" s="35">
        <f>IFERROR((TA[[#This Row],[Work Completion time on fault]]-TA[[#This Row],[Fault Time]])*24,"")</f>
        <v>11.666666666666664</v>
      </c>
      <c r="AE1657" t="s">
        <v>328</v>
      </c>
      <c r="AF1657" t="s">
        <v>256</v>
      </c>
      <c r="AG1657" s="2"/>
      <c r="AH1657" s="44">
        <f>1-COS(RADIANS(TA[[#This Row],[Avg. Target Angle during Fault Time (Radians)]]-TA[[#This Row],[Angle of affected equipment ]]))</f>
        <v>0.11705240714107301</v>
      </c>
      <c r="AI1657" s="35">
        <f>IFERROR(TA[[#This Row],[Breakdown Time]]*TA[[#This Row],[Plant Equivalent Weightage]],"")</f>
        <v>0.10057471264367809</v>
      </c>
    </row>
    <row r="1658" spans="1:35">
      <c r="A1658" s="2">
        <f t="shared" si="209"/>
        <v>1655</v>
      </c>
      <c r="B1658" s="156">
        <f t="shared" si="207"/>
        <v>2026</v>
      </c>
      <c r="C1658" s="129">
        <f t="shared" si="208"/>
        <v>2025</v>
      </c>
      <c r="D1658" s="2" t="s">
        <v>155</v>
      </c>
      <c r="E1658" s="2" t="s">
        <v>155</v>
      </c>
      <c r="F1658" s="39">
        <v>45839</v>
      </c>
      <c r="G1658" s="2">
        <f>DAY(EOMONTH(TA[[#This Row],[Month Year]],0))</f>
        <v>31</v>
      </c>
      <c r="H1658" s="21">
        <v>45864</v>
      </c>
      <c r="I1658" s="41">
        <f>IFERROR(VLOOKUP(TA[[#This Row],[Date]],Raw_Data[[Date]:[Sunset Time (POA&lt;20 W/m2)]],3,0),"")</f>
        <v>0.27430555555555558</v>
      </c>
      <c r="J1658" s="41">
        <f>IFERROR(VLOOKUP(TA[[#This Row],[Date]],Raw_Data[[Date]:[Sunset Time (POA&lt;20 W/m2)]],4,0),"")</f>
        <v>0.77361111111111114</v>
      </c>
      <c r="K1658" s="35">
        <f>IFERROR((TA[[#This Row],[Sunset Time (POA&lt;20 W/m2)]]-TA[[#This Row],[Sunrise Time (POA&gt;20 W/m2)]])*24,"")</f>
        <v>11.983333333333334</v>
      </c>
      <c r="L1658" s="2" t="s">
        <v>294</v>
      </c>
      <c r="M1658" s="42">
        <f>IFERROR(VLOOKUP(TA[[#This Row],[Affected Equipment]],'Basic Data'!$I$2:$K$40,3,0),"")</f>
        <v>1.7241379310344799E-3</v>
      </c>
      <c r="N1658">
        <v>-28</v>
      </c>
      <c r="O1658" t="s">
        <v>133</v>
      </c>
      <c r="P1658" s="127" t="s">
        <v>316</v>
      </c>
      <c r="Q1658" s="126" t="s">
        <v>317</v>
      </c>
      <c r="R1658">
        <v>7</v>
      </c>
      <c r="S1658" s="2">
        <v>32</v>
      </c>
      <c r="T1658" t="s">
        <v>295</v>
      </c>
      <c r="U1658" t="s">
        <v>300</v>
      </c>
      <c r="V1658" t="s">
        <v>298</v>
      </c>
      <c r="W1658" s="41"/>
      <c r="X1658" s="41"/>
      <c r="Y1658" s="34"/>
      <c r="Z1658" s="34"/>
      <c r="AA1658" s="35">
        <f>IF(TA[[#This Row],[Work Start time on Fault]]="NA","",(TA[[#This Row],[Fault Acknowledgement Time ]]-TA[[#This Row],[Fault Time]])*24)</f>
        <v>0</v>
      </c>
      <c r="AB1658" s="35">
        <f>(TA[[#This Row],[Work Start time on Fault]]-TA[[#This Row],[Fault Time]])*24</f>
        <v>0</v>
      </c>
      <c r="AC1658" s="34">
        <f>(TA[[#This Row],[Work Completion time on fault]]-TA[[#This Row],[Fault Time]])*24</f>
        <v>0</v>
      </c>
      <c r="AD1658" s="35">
        <f>IFERROR((TA[[#This Row],[Work Completion time on fault]]-TA[[#This Row],[Fault Time]])*24,"")</f>
        <v>0</v>
      </c>
      <c r="AE1658" t="s">
        <v>328</v>
      </c>
      <c r="AF1658" t="s">
        <v>256</v>
      </c>
      <c r="AG1658" s="2"/>
      <c r="AH1658" s="44">
        <f>1-COS(RADIANS(TA[[#This Row],[Avg. Target Angle during Fault Time (Radians)]]-TA[[#This Row],[Angle of affected equipment ]]))</f>
        <v>0.11705240714107301</v>
      </c>
      <c r="AI1658" s="35">
        <f>IFERROR(TA[[#This Row],[Breakdown Time]]*TA[[#This Row],[Plant Equivalent Weightage]],"")</f>
        <v>0</v>
      </c>
    </row>
    <row r="1659" spans="1:35">
      <c r="A1659" s="2">
        <f t="shared" si="209"/>
        <v>1656</v>
      </c>
      <c r="B1659" s="156">
        <f t="shared" si="207"/>
        <v>2026</v>
      </c>
      <c r="C1659" s="129">
        <f t="shared" si="208"/>
        <v>2025</v>
      </c>
      <c r="D1659" s="2" t="s">
        <v>155</v>
      </c>
      <c r="E1659" s="2" t="s">
        <v>155</v>
      </c>
      <c r="F1659" s="39">
        <v>45839</v>
      </c>
      <c r="G1659" s="2">
        <f>DAY(EOMONTH(TA[[#This Row],[Month Year]],0))</f>
        <v>31</v>
      </c>
      <c r="H1659" s="21">
        <v>45864</v>
      </c>
      <c r="I1659" s="41">
        <f>IFERROR(VLOOKUP(TA[[#This Row],[Date]],Raw_Data[[Date]:[Sunset Time (POA&lt;20 W/m2)]],3,0),"")</f>
        <v>0.27430555555555558</v>
      </c>
      <c r="J1659" s="41">
        <f>IFERROR(VLOOKUP(TA[[#This Row],[Date]],Raw_Data[[Date]:[Sunset Time (POA&lt;20 W/m2)]],4,0),"")</f>
        <v>0.77361111111111114</v>
      </c>
      <c r="K1659" s="35">
        <f>IFERROR((TA[[#This Row],[Sunset Time (POA&lt;20 W/m2)]]-TA[[#This Row],[Sunrise Time (POA&gt;20 W/m2)]])*24,"")</f>
        <v>11.983333333333334</v>
      </c>
      <c r="L1659" s="2" t="s">
        <v>294</v>
      </c>
      <c r="M1659" s="42">
        <f>IFERROR(VLOOKUP(TA[[#This Row],[Affected Equipment]],'Basic Data'!$I$2:$K$40,3,0),"")</f>
        <v>1.7241379310344799E-3</v>
      </c>
      <c r="N1659">
        <v>-28</v>
      </c>
      <c r="O1659" t="s">
        <v>137</v>
      </c>
      <c r="P1659" s="127" t="s">
        <v>315</v>
      </c>
      <c r="Q1659" s="126" t="s">
        <v>319</v>
      </c>
      <c r="R1659">
        <v>166</v>
      </c>
      <c r="S1659" s="2">
        <v>91</v>
      </c>
      <c r="T1659" t="s">
        <v>295</v>
      </c>
      <c r="U1659" t="s">
        <v>300</v>
      </c>
      <c r="V1659" t="s">
        <v>298</v>
      </c>
      <c r="W1659" s="41"/>
      <c r="X1659" s="41"/>
      <c r="Y1659" s="34"/>
      <c r="Z1659" s="34"/>
      <c r="AA1659" s="35">
        <f>IF(TA[[#This Row],[Work Start time on Fault]]="NA","",(TA[[#This Row],[Fault Acknowledgement Time ]]-TA[[#This Row],[Fault Time]])*24)</f>
        <v>0</v>
      </c>
      <c r="AB1659" s="35">
        <f>(TA[[#This Row],[Work Start time on Fault]]-TA[[#This Row],[Fault Time]])*24</f>
        <v>0</v>
      </c>
      <c r="AC1659" s="34">
        <f>(TA[[#This Row],[Work Completion time on fault]]-TA[[#This Row],[Fault Time]])*24</f>
        <v>0</v>
      </c>
      <c r="AD1659" s="35">
        <f>IFERROR((TA[[#This Row],[Work Completion time on fault]]-TA[[#This Row],[Fault Time]])*24,"")</f>
        <v>0</v>
      </c>
      <c r="AE1659" t="s">
        <v>328</v>
      </c>
      <c r="AF1659" t="s">
        <v>256</v>
      </c>
      <c r="AG1659" s="2"/>
      <c r="AH1659" s="44">
        <f>1-COS(RADIANS(TA[[#This Row],[Avg. Target Angle during Fault Time (Radians)]]-TA[[#This Row],[Angle of affected equipment ]]))</f>
        <v>0.11705240714107301</v>
      </c>
      <c r="AI1659" s="35">
        <f>IFERROR(TA[[#This Row],[Breakdown Time]]*TA[[#This Row],[Plant Equivalent Weightage]],"")</f>
        <v>0</v>
      </c>
    </row>
    <row r="1660" spans="1:35">
      <c r="A1660" s="2">
        <f t="shared" si="209"/>
        <v>1657</v>
      </c>
      <c r="B1660" s="156">
        <f t="shared" si="207"/>
        <v>2026</v>
      </c>
      <c r="C1660" s="129">
        <f t="shared" si="208"/>
        <v>2025</v>
      </c>
      <c r="D1660" s="2" t="s">
        <v>155</v>
      </c>
      <c r="E1660" s="2" t="s">
        <v>155</v>
      </c>
      <c r="F1660" s="39">
        <v>45839</v>
      </c>
      <c r="G1660" s="2">
        <f>DAY(EOMONTH(TA[[#This Row],[Month Year]],0))</f>
        <v>31</v>
      </c>
      <c r="H1660" s="21">
        <v>45864</v>
      </c>
      <c r="I1660" s="41">
        <f>IFERROR(VLOOKUP(TA[[#This Row],[Date]],Raw_Data[[Date]:[Sunset Time (POA&lt;20 W/m2)]],3,0),"")</f>
        <v>0.27430555555555558</v>
      </c>
      <c r="J1660" s="41">
        <f>IFERROR(VLOOKUP(TA[[#This Row],[Date]],Raw_Data[[Date]:[Sunset Time (POA&lt;20 W/m2)]],4,0),"")</f>
        <v>0.77361111111111114</v>
      </c>
      <c r="K1660" s="35">
        <f>IFERROR((TA[[#This Row],[Sunset Time (POA&lt;20 W/m2)]]-TA[[#This Row],[Sunrise Time (POA&gt;20 W/m2)]])*24,"")</f>
        <v>11.983333333333334</v>
      </c>
      <c r="L1660" s="2" t="s">
        <v>294</v>
      </c>
      <c r="M1660" s="42">
        <f>IFERROR(VLOOKUP(TA[[#This Row],[Affected Equipment]],'Basic Data'!$I$2:$K$40,3,0),"")</f>
        <v>1.7241379310344799E-3</v>
      </c>
      <c r="N1660">
        <v>-28</v>
      </c>
      <c r="O1660" t="s">
        <v>133</v>
      </c>
      <c r="P1660" s="127" t="s">
        <v>316</v>
      </c>
      <c r="Q1660" s="126" t="s">
        <v>316</v>
      </c>
      <c r="R1660">
        <v>117</v>
      </c>
      <c r="S1660" s="2">
        <v>20</v>
      </c>
      <c r="T1660" t="s">
        <v>295</v>
      </c>
      <c r="U1660" t="s">
        <v>300</v>
      </c>
      <c r="V1660" t="s">
        <v>298</v>
      </c>
      <c r="W1660" s="41"/>
      <c r="X1660" s="41"/>
      <c r="Y1660" s="34"/>
      <c r="Z1660" s="34"/>
      <c r="AA1660" s="35">
        <f>IF(TA[[#This Row],[Work Start time on Fault]]="NA","",(TA[[#This Row],[Fault Acknowledgement Time ]]-TA[[#This Row],[Fault Time]])*24)</f>
        <v>0</v>
      </c>
      <c r="AB1660" s="35">
        <f>(TA[[#This Row],[Work Start time on Fault]]-TA[[#This Row],[Fault Time]])*24</f>
        <v>0</v>
      </c>
      <c r="AC1660" s="34">
        <f>(TA[[#This Row],[Work Completion time on fault]]-TA[[#This Row],[Fault Time]])*24</f>
        <v>0</v>
      </c>
      <c r="AD1660" s="35">
        <f>IFERROR((TA[[#This Row],[Work Completion time on fault]]-TA[[#This Row],[Fault Time]])*24,"")</f>
        <v>0</v>
      </c>
      <c r="AE1660" t="s">
        <v>328</v>
      </c>
      <c r="AF1660" t="s">
        <v>256</v>
      </c>
      <c r="AG1660" s="2"/>
      <c r="AH1660" s="44">
        <f>1-COS(RADIANS(TA[[#This Row],[Avg. Target Angle during Fault Time (Radians)]]-TA[[#This Row],[Angle of affected equipment ]]))</f>
        <v>0.11705240714107301</v>
      </c>
      <c r="AI1660" s="35">
        <f>IFERROR(TA[[#This Row],[Breakdown Time]]*TA[[#This Row],[Plant Equivalent Weightage]],"")</f>
        <v>0</v>
      </c>
    </row>
    <row r="1661" spans="1:35">
      <c r="A1661" s="2">
        <f t="shared" si="209"/>
        <v>1658</v>
      </c>
      <c r="B1661" s="156">
        <f t="shared" si="207"/>
        <v>2026</v>
      </c>
      <c r="C1661" s="129">
        <f t="shared" si="208"/>
        <v>2025</v>
      </c>
      <c r="D1661" s="2" t="s">
        <v>155</v>
      </c>
      <c r="E1661" s="2" t="s">
        <v>155</v>
      </c>
      <c r="F1661" s="39">
        <v>45839</v>
      </c>
      <c r="G1661" s="2">
        <f>DAY(EOMONTH(TA[[#This Row],[Month Year]],0))</f>
        <v>31</v>
      </c>
      <c r="H1661" s="21">
        <v>45864</v>
      </c>
      <c r="I1661" s="41">
        <f>IFERROR(VLOOKUP(TA[[#This Row],[Date]],Raw_Data[[Date]:[Sunset Time (POA&lt;20 W/m2)]],3,0),"")</f>
        <v>0.27430555555555558</v>
      </c>
      <c r="J1661" s="41">
        <f>IFERROR(VLOOKUP(TA[[#This Row],[Date]],Raw_Data[[Date]:[Sunset Time (POA&lt;20 W/m2)]],4,0),"")</f>
        <v>0.77361111111111114</v>
      </c>
      <c r="K1661" s="35">
        <f>IFERROR((TA[[#This Row],[Sunset Time (POA&lt;20 W/m2)]]-TA[[#This Row],[Sunrise Time (POA&gt;20 W/m2)]])*24,"")</f>
        <v>11.983333333333334</v>
      </c>
      <c r="L1661" s="2" t="s">
        <v>294</v>
      </c>
      <c r="M1661" s="42">
        <f>IFERROR(VLOOKUP(TA[[#This Row],[Affected Equipment]],'Basic Data'!$I$2:$K$40,3,0),"")</f>
        <v>1.7241379310344799E-3</v>
      </c>
      <c r="N1661">
        <v>-28</v>
      </c>
      <c r="O1661" t="s">
        <v>133</v>
      </c>
      <c r="P1661" s="127" t="s">
        <v>316</v>
      </c>
      <c r="Q1661" s="126" t="s">
        <v>316</v>
      </c>
      <c r="R1661">
        <v>118</v>
      </c>
      <c r="S1661" s="2">
        <v>22</v>
      </c>
      <c r="T1661" t="s">
        <v>295</v>
      </c>
      <c r="U1661" t="s">
        <v>300</v>
      </c>
      <c r="V1661" t="s">
        <v>298</v>
      </c>
      <c r="W1661" s="41"/>
      <c r="X1661" s="41"/>
      <c r="Y1661" s="34"/>
      <c r="Z1661" s="34"/>
      <c r="AA1661" s="35">
        <f>IF(TA[[#This Row],[Work Start time on Fault]]="NA","",(TA[[#This Row],[Fault Acknowledgement Time ]]-TA[[#This Row],[Fault Time]])*24)</f>
        <v>0</v>
      </c>
      <c r="AB1661" s="35">
        <f>(TA[[#This Row],[Work Start time on Fault]]-TA[[#This Row],[Fault Time]])*24</f>
        <v>0</v>
      </c>
      <c r="AC1661" s="34">
        <f>(TA[[#This Row],[Work Completion time on fault]]-TA[[#This Row],[Fault Time]])*24</f>
        <v>0</v>
      </c>
      <c r="AD1661" s="35">
        <f>IFERROR((TA[[#This Row],[Work Completion time on fault]]-TA[[#This Row],[Fault Time]])*24,"")</f>
        <v>0</v>
      </c>
      <c r="AE1661" t="s">
        <v>328</v>
      </c>
      <c r="AF1661" t="s">
        <v>256</v>
      </c>
      <c r="AG1661" s="2"/>
      <c r="AH1661" s="44">
        <f>1-COS(RADIANS(TA[[#This Row],[Avg. Target Angle during Fault Time (Radians)]]-TA[[#This Row],[Angle of affected equipment ]]))</f>
        <v>0.11705240714107301</v>
      </c>
      <c r="AI1661" s="35">
        <f>IFERROR(TA[[#This Row],[Breakdown Time]]*TA[[#This Row],[Plant Equivalent Weightage]],"")</f>
        <v>0</v>
      </c>
    </row>
    <row r="1662" spans="1:35">
      <c r="A1662" s="2">
        <f t="shared" si="209"/>
        <v>1659</v>
      </c>
      <c r="B1662" s="156">
        <f t="shared" si="207"/>
        <v>2026</v>
      </c>
      <c r="C1662" s="129">
        <f t="shared" si="208"/>
        <v>2025</v>
      </c>
      <c r="D1662" s="2" t="s">
        <v>155</v>
      </c>
      <c r="E1662" s="2" t="s">
        <v>155</v>
      </c>
      <c r="F1662" s="39">
        <v>45839</v>
      </c>
      <c r="G1662" s="2">
        <f>DAY(EOMONTH(TA[[#This Row],[Month Year]],0))</f>
        <v>31</v>
      </c>
      <c r="H1662" s="21">
        <v>45864</v>
      </c>
      <c r="I1662" s="41">
        <f>IFERROR(VLOOKUP(TA[[#This Row],[Date]],Raw_Data[[Date]:[Sunset Time (POA&lt;20 W/m2)]],3,0),"")</f>
        <v>0.27430555555555558</v>
      </c>
      <c r="J1662" s="41">
        <f>IFERROR(VLOOKUP(TA[[#This Row],[Date]],Raw_Data[[Date]:[Sunset Time (POA&lt;20 W/m2)]],4,0),"")</f>
        <v>0.77361111111111114</v>
      </c>
      <c r="K1662" s="35">
        <f>IFERROR((TA[[#This Row],[Sunset Time (POA&lt;20 W/m2)]]-TA[[#This Row],[Sunrise Time (POA&gt;20 W/m2)]])*24,"")</f>
        <v>11.983333333333334</v>
      </c>
      <c r="L1662" s="2" t="s">
        <v>296</v>
      </c>
      <c r="M1662" s="42">
        <f>IFERROR(VLOOKUP(TA[[#This Row],[Affected Equipment]],'Basic Data'!$I$2:$K$40,3,0),"")</f>
        <v>8.6206896551724102E-3</v>
      </c>
      <c r="N1662">
        <v>-28</v>
      </c>
      <c r="O1662" t="s">
        <v>135</v>
      </c>
      <c r="P1662" s="22" t="s">
        <v>323</v>
      </c>
      <c r="Q1662" s="2" t="s">
        <v>329</v>
      </c>
      <c r="R1662">
        <v>45</v>
      </c>
      <c r="S1662" s="2">
        <v>8</v>
      </c>
      <c r="T1662" t="s">
        <v>297</v>
      </c>
      <c r="U1662" t="s">
        <v>300</v>
      </c>
      <c r="V1662" t="s">
        <v>301</v>
      </c>
      <c r="W1662" s="41"/>
      <c r="X1662" s="41"/>
      <c r="Y1662" s="34"/>
      <c r="Z1662" s="34"/>
      <c r="AA1662" s="35">
        <f>IF(TA[[#This Row],[Work Start time on Fault]]="NA","",(TA[[#This Row],[Fault Acknowledgement Time ]]-TA[[#This Row],[Fault Time]])*24)</f>
        <v>0</v>
      </c>
      <c r="AB1662" s="35">
        <f>(TA[[#This Row],[Work Start time on Fault]]-TA[[#This Row],[Fault Time]])*24</f>
        <v>0</v>
      </c>
      <c r="AC1662" s="34">
        <f>(TA[[#This Row],[Work Completion time on fault]]-TA[[#This Row],[Fault Time]])*24</f>
        <v>0</v>
      </c>
      <c r="AD1662" s="35">
        <f>IFERROR((TA[[#This Row],[Work Completion time on fault]]-TA[[#This Row],[Fault Time]])*24,"")</f>
        <v>0</v>
      </c>
      <c r="AE1662" t="s">
        <v>328</v>
      </c>
      <c r="AF1662" t="s">
        <v>256</v>
      </c>
      <c r="AG1662" s="2"/>
      <c r="AH1662" s="44">
        <f>1-COS(RADIANS(TA[[#This Row],[Avg. Target Angle during Fault Time (Radians)]]-TA[[#This Row],[Angle of affected equipment ]]))</f>
        <v>0.11705240714107301</v>
      </c>
      <c r="AI1662" s="35">
        <f>IFERROR(TA[[#This Row],[Breakdown Time]]*TA[[#This Row],[Plant Equivalent Weightage]],"")</f>
        <v>0</v>
      </c>
    </row>
    <row r="1663" spans="1:35">
      <c r="A1663" s="2">
        <f t="shared" si="209"/>
        <v>1660</v>
      </c>
      <c r="B1663" s="156">
        <f t="shared" si="207"/>
        <v>2026</v>
      </c>
      <c r="C1663" s="129">
        <f t="shared" si="208"/>
        <v>2025</v>
      </c>
      <c r="D1663" s="2" t="s">
        <v>155</v>
      </c>
      <c r="E1663" s="2" t="s">
        <v>155</v>
      </c>
      <c r="F1663" s="39">
        <v>45839</v>
      </c>
      <c r="G1663" s="2">
        <f>DAY(EOMONTH(TA[[#This Row],[Month Year]],0))</f>
        <v>31</v>
      </c>
      <c r="H1663" s="21">
        <v>45864</v>
      </c>
      <c r="I1663" s="41">
        <f>IFERROR(VLOOKUP(TA[[#This Row],[Date]],Raw_Data[[Date]:[Sunset Time (POA&lt;20 W/m2)]],3,0),"")</f>
        <v>0.27430555555555558</v>
      </c>
      <c r="J1663" s="41">
        <f>IFERROR(VLOOKUP(TA[[#This Row],[Date]],Raw_Data[[Date]:[Sunset Time (POA&lt;20 W/m2)]],4,0),"")</f>
        <v>0.77361111111111114</v>
      </c>
      <c r="K1663" s="35">
        <f>IFERROR((TA[[#This Row],[Sunset Time (POA&lt;20 W/m2)]]-TA[[#This Row],[Sunrise Time (POA&gt;20 W/m2)]])*24,"")</f>
        <v>11.983333333333334</v>
      </c>
      <c r="L1663" s="2" t="s">
        <v>296</v>
      </c>
      <c r="M1663" s="42">
        <f>IFERROR(VLOOKUP(TA[[#This Row],[Affected Equipment]],'Basic Data'!$I$2:$K$40,3,0),"")</f>
        <v>8.6206896551724102E-3</v>
      </c>
      <c r="N1663">
        <v>-28</v>
      </c>
      <c r="O1663" t="s">
        <v>135</v>
      </c>
      <c r="P1663" s="22" t="s">
        <v>323</v>
      </c>
      <c r="Q1663" s="2" t="s">
        <v>329</v>
      </c>
      <c r="R1663">
        <v>47</v>
      </c>
      <c r="S1663" s="2">
        <v>18</v>
      </c>
      <c r="T1663" t="s">
        <v>297</v>
      </c>
      <c r="U1663" t="s">
        <v>300</v>
      </c>
      <c r="V1663" t="s">
        <v>301</v>
      </c>
      <c r="W1663" s="41"/>
      <c r="X1663" s="41"/>
      <c r="Y1663" s="34"/>
      <c r="Z1663" s="34"/>
      <c r="AA1663" s="35">
        <f>IF(TA[[#This Row],[Work Start time on Fault]]="NA","",(TA[[#This Row],[Fault Acknowledgement Time ]]-TA[[#This Row],[Fault Time]])*24)</f>
        <v>0</v>
      </c>
      <c r="AB1663" s="35">
        <f>(TA[[#This Row],[Work Start time on Fault]]-TA[[#This Row],[Fault Time]])*24</f>
        <v>0</v>
      </c>
      <c r="AC1663" s="34">
        <f>(TA[[#This Row],[Work Completion time on fault]]-TA[[#This Row],[Fault Time]])*24</f>
        <v>0</v>
      </c>
      <c r="AD1663" s="35">
        <f>IFERROR((TA[[#This Row],[Work Completion time on fault]]-TA[[#This Row],[Fault Time]])*24,"")</f>
        <v>0</v>
      </c>
      <c r="AE1663" t="s">
        <v>328</v>
      </c>
      <c r="AF1663" t="s">
        <v>256</v>
      </c>
      <c r="AG1663" s="2"/>
      <c r="AH1663" s="44">
        <f>1-COS(RADIANS(TA[[#This Row],[Avg. Target Angle during Fault Time (Radians)]]-TA[[#This Row],[Angle of affected equipment ]]))</f>
        <v>0.11705240714107301</v>
      </c>
      <c r="AI1663" s="35">
        <f>IFERROR(TA[[#This Row],[Breakdown Time]]*TA[[#This Row],[Plant Equivalent Weightage]],"")</f>
        <v>0</v>
      </c>
    </row>
    <row r="1664" spans="1:35">
      <c r="A1664" s="2">
        <f t="shared" si="209"/>
        <v>1661</v>
      </c>
      <c r="B1664" s="156">
        <f t="shared" si="207"/>
        <v>2026</v>
      </c>
      <c r="C1664" s="129">
        <f t="shared" si="208"/>
        <v>2025</v>
      </c>
      <c r="D1664" s="2" t="s">
        <v>155</v>
      </c>
      <c r="E1664" s="2" t="s">
        <v>155</v>
      </c>
      <c r="F1664" s="39">
        <v>45839</v>
      </c>
      <c r="G1664" s="2">
        <f>DAY(EOMONTH(TA[[#This Row],[Month Year]],0))</f>
        <v>31</v>
      </c>
      <c r="H1664" s="21">
        <v>45864</v>
      </c>
      <c r="I1664" s="41">
        <f>IFERROR(VLOOKUP(TA[[#This Row],[Date]],Raw_Data[[Date]:[Sunset Time (POA&lt;20 W/m2)]],3,0),"")</f>
        <v>0.27430555555555558</v>
      </c>
      <c r="J1664" s="41">
        <f>IFERROR(VLOOKUP(TA[[#This Row],[Date]],Raw_Data[[Date]:[Sunset Time (POA&lt;20 W/m2)]],4,0),"")</f>
        <v>0.77361111111111114</v>
      </c>
      <c r="K1664" s="35">
        <f>IFERROR((TA[[#This Row],[Sunset Time (POA&lt;20 W/m2)]]-TA[[#This Row],[Sunrise Time (POA&gt;20 W/m2)]])*24,"")</f>
        <v>11.983333333333334</v>
      </c>
      <c r="L1664" s="2" t="s">
        <v>296</v>
      </c>
      <c r="M1664" s="42">
        <f>IFERROR(VLOOKUP(TA[[#This Row],[Affected Equipment]],'Basic Data'!$I$2:$K$40,3,0),"")</f>
        <v>8.6206896551724102E-3</v>
      </c>
      <c r="N1664">
        <v>-28</v>
      </c>
      <c r="O1664" t="s">
        <v>134</v>
      </c>
      <c r="P1664" s="22" t="s">
        <v>330</v>
      </c>
      <c r="Q1664" s="2" t="s">
        <v>323</v>
      </c>
      <c r="R1664">
        <v>30</v>
      </c>
      <c r="S1664" s="2">
        <v>57</v>
      </c>
      <c r="T1664" t="s">
        <v>297</v>
      </c>
      <c r="U1664" t="s">
        <v>300</v>
      </c>
      <c r="V1664" t="s">
        <v>301</v>
      </c>
      <c r="W1664" s="41"/>
      <c r="X1664" s="41"/>
      <c r="Y1664" s="34"/>
      <c r="Z1664" s="34"/>
      <c r="AA1664" s="35">
        <f>IF(TA[[#This Row],[Work Start time on Fault]]="NA","",(TA[[#This Row],[Fault Acknowledgement Time ]]-TA[[#This Row],[Fault Time]])*24)</f>
        <v>0</v>
      </c>
      <c r="AB1664" s="35">
        <f>(TA[[#This Row],[Work Start time on Fault]]-TA[[#This Row],[Fault Time]])*24</f>
        <v>0</v>
      </c>
      <c r="AC1664" s="34">
        <f>(TA[[#This Row],[Work Completion time on fault]]-TA[[#This Row],[Fault Time]])*24</f>
        <v>0</v>
      </c>
      <c r="AD1664" s="35">
        <f>IFERROR((TA[[#This Row],[Work Completion time on fault]]-TA[[#This Row],[Fault Time]])*24,"")</f>
        <v>0</v>
      </c>
      <c r="AE1664" t="s">
        <v>328</v>
      </c>
      <c r="AF1664" t="s">
        <v>256</v>
      </c>
      <c r="AG1664" s="2"/>
      <c r="AH1664" s="44">
        <f>1-COS(RADIANS(TA[[#This Row],[Avg. Target Angle during Fault Time (Radians)]]-TA[[#This Row],[Angle of affected equipment ]]))</f>
        <v>0.11705240714107301</v>
      </c>
      <c r="AI1664" s="35">
        <f>IFERROR(TA[[#This Row],[Breakdown Time]]*TA[[#This Row],[Plant Equivalent Weightage]],"")</f>
        <v>0</v>
      </c>
    </row>
    <row r="1665" spans="1:35">
      <c r="A1665" s="2">
        <f t="shared" si="209"/>
        <v>1662</v>
      </c>
      <c r="B1665" s="156">
        <f t="shared" si="207"/>
        <v>2026</v>
      </c>
      <c r="C1665" s="129">
        <f t="shared" si="208"/>
        <v>2025</v>
      </c>
      <c r="D1665" s="2" t="s">
        <v>155</v>
      </c>
      <c r="E1665" s="2" t="s">
        <v>155</v>
      </c>
      <c r="F1665" s="39">
        <v>45839</v>
      </c>
      <c r="G1665" s="2">
        <f>DAY(EOMONTH(TA[[#This Row],[Month Year]],0))</f>
        <v>31</v>
      </c>
      <c r="H1665" s="21">
        <v>45864</v>
      </c>
      <c r="I1665" s="41">
        <f>IFERROR(VLOOKUP(TA[[#This Row],[Date]],Raw_Data[[Date]:[Sunset Time (POA&lt;20 W/m2)]],3,0),"")</f>
        <v>0.27430555555555558</v>
      </c>
      <c r="J1665" s="41">
        <f>IFERROR(VLOOKUP(TA[[#This Row],[Date]],Raw_Data[[Date]:[Sunset Time (POA&lt;20 W/m2)]],4,0),"")</f>
        <v>0.77361111111111114</v>
      </c>
      <c r="K1665" s="35">
        <f>IFERROR((TA[[#This Row],[Sunset Time (POA&lt;20 W/m2)]]-TA[[#This Row],[Sunrise Time (POA&gt;20 W/m2)]])*24,"")</f>
        <v>11.983333333333334</v>
      </c>
      <c r="L1665" s="2" t="s">
        <v>296</v>
      </c>
      <c r="M1665" s="42">
        <f>IFERROR(VLOOKUP(TA[[#This Row],[Affected Equipment]],'Basic Data'!$I$2:$K$40,3,0),"")</f>
        <v>8.6206896551724102E-3</v>
      </c>
      <c r="N1665">
        <v>-28</v>
      </c>
      <c r="O1665" t="s">
        <v>134</v>
      </c>
      <c r="P1665" s="22" t="s">
        <v>330</v>
      </c>
      <c r="Q1665" s="2" t="s">
        <v>323</v>
      </c>
      <c r="R1665">
        <v>31</v>
      </c>
      <c r="S1665" s="2">
        <v>61</v>
      </c>
      <c r="T1665" t="s">
        <v>297</v>
      </c>
      <c r="U1665" t="s">
        <v>300</v>
      </c>
      <c r="V1665" t="s">
        <v>301</v>
      </c>
      <c r="W1665" s="41"/>
      <c r="X1665" s="41"/>
      <c r="Y1665" s="34"/>
      <c r="Z1665" s="34"/>
      <c r="AA1665" s="35">
        <f>IF(TA[[#This Row],[Work Start time on Fault]]="NA","",(TA[[#This Row],[Fault Acknowledgement Time ]]-TA[[#This Row],[Fault Time]])*24)</f>
        <v>0</v>
      </c>
      <c r="AB1665" s="35">
        <f>(TA[[#This Row],[Work Start time on Fault]]-TA[[#This Row],[Fault Time]])*24</f>
        <v>0</v>
      </c>
      <c r="AC1665" s="34">
        <f>(TA[[#This Row],[Work Completion time on fault]]-TA[[#This Row],[Fault Time]])*24</f>
        <v>0</v>
      </c>
      <c r="AD1665" s="35">
        <f>IFERROR((TA[[#This Row],[Work Completion time on fault]]-TA[[#This Row],[Fault Time]])*24,"")</f>
        <v>0</v>
      </c>
      <c r="AE1665" t="s">
        <v>328</v>
      </c>
      <c r="AF1665" t="s">
        <v>256</v>
      </c>
      <c r="AG1665" s="2"/>
      <c r="AH1665" s="44">
        <f>1-COS(RADIANS(TA[[#This Row],[Avg. Target Angle during Fault Time (Radians)]]-TA[[#This Row],[Angle of affected equipment ]]))</f>
        <v>0.11705240714107301</v>
      </c>
      <c r="AI1665" s="35">
        <f>IFERROR(TA[[#This Row],[Breakdown Time]]*TA[[#This Row],[Plant Equivalent Weightage]],"")</f>
        <v>0</v>
      </c>
    </row>
    <row r="1666" spans="1:35">
      <c r="A1666" s="2">
        <f t="shared" si="209"/>
        <v>1663</v>
      </c>
      <c r="B1666" s="156">
        <f t="shared" si="207"/>
        <v>2026</v>
      </c>
      <c r="C1666" s="129">
        <f t="shared" si="208"/>
        <v>2025</v>
      </c>
      <c r="D1666" s="2" t="s">
        <v>155</v>
      </c>
      <c r="E1666" s="2" t="s">
        <v>155</v>
      </c>
      <c r="F1666" s="39">
        <v>45839</v>
      </c>
      <c r="G1666" s="2">
        <f>DAY(EOMONTH(TA[[#This Row],[Month Year]],0))</f>
        <v>31</v>
      </c>
      <c r="H1666" s="21">
        <v>45864</v>
      </c>
      <c r="I1666" s="41">
        <f>IFERROR(VLOOKUP(TA[[#This Row],[Date]],Raw_Data[[Date]:[Sunset Time (POA&lt;20 W/m2)]],3,0),"")</f>
        <v>0.27430555555555558</v>
      </c>
      <c r="J1666" s="41">
        <f>IFERROR(VLOOKUP(TA[[#This Row],[Date]],Raw_Data[[Date]:[Sunset Time (POA&lt;20 W/m2)]],4,0),"")</f>
        <v>0.77361111111111114</v>
      </c>
      <c r="K1666" s="35">
        <f>IFERROR((TA[[#This Row],[Sunset Time (POA&lt;20 W/m2)]]-TA[[#This Row],[Sunrise Time (POA&gt;20 W/m2)]])*24,"")</f>
        <v>11.983333333333334</v>
      </c>
      <c r="L1666" s="2" t="s">
        <v>312</v>
      </c>
      <c r="M1666" s="42">
        <f>IFERROR(VLOOKUP(TA[[#This Row],[Affected Equipment]],'Basic Data'!$I$2:$K$40,3,0),"")</f>
        <v>5.74712643678161E-3</v>
      </c>
      <c r="N1666">
        <v>-28</v>
      </c>
      <c r="O1666" t="s">
        <v>133</v>
      </c>
      <c r="P1666" s="22" t="s">
        <v>330</v>
      </c>
      <c r="Q1666" s="2" t="s">
        <v>323</v>
      </c>
      <c r="R1666">
        <v>26</v>
      </c>
      <c r="S1666" s="2">
        <v>37</v>
      </c>
      <c r="T1666" t="s">
        <v>297</v>
      </c>
      <c r="U1666" t="s">
        <v>300</v>
      </c>
      <c r="V1666" t="s">
        <v>301</v>
      </c>
      <c r="W1666" s="41"/>
      <c r="X1666" s="41"/>
      <c r="Y1666" s="34"/>
      <c r="Z1666" s="34"/>
      <c r="AA1666" s="35">
        <f>IF(TA[[#This Row],[Work Start time on Fault]]="NA","",(TA[[#This Row],[Fault Acknowledgement Time ]]-TA[[#This Row],[Fault Time]])*24)</f>
        <v>0</v>
      </c>
      <c r="AB1666" s="35">
        <f>(TA[[#This Row],[Work Start time on Fault]]-TA[[#This Row],[Fault Time]])*24</f>
        <v>0</v>
      </c>
      <c r="AC1666" s="34">
        <f>(TA[[#This Row],[Work Completion time on fault]]-TA[[#This Row],[Fault Time]])*24</f>
        <v>0</v>
      </c>
      <c r="AD1666" s="35">
        <f>IFERROR((TA[[#This Row],[Work Completion time on fault]]-TA[[#This Row],[Fault Time]])*24,"")</f>
        <v>0</v>
      </c>
      <c r="AE1666" t="s">
        <v>328</v>
      </c>
      <c r="AF1666" t="s">
        <v>256</v>
      </c>
      <c r="AG1666" s="2"/>
      <c r="AH1666" s="44">
        <f>1-COS(RADIANS(TA[[#This Row],[Avg. Target Angle during Fault Time (Radians)]]-TA[[#This Row],[Angle of affected equipment ]]))</f>
        <v>0.11705240714107301</v>
      </c>
      <c r="AI1666" s="35">
        <f>IFERROR(TA[[#This Row],[Breakdown Time]]*TA[[#This Row],[Plant Equivalent Weightage]],"")</f>
        <v>0</v>
      </c>
    </row>
    <row r="1667" spans="1:35">
      <c r="A1667" s="2">
        <f t="shared" si="209"/>
        <v>1664</v>
      </c>
      <c r="B1667" s="156">
        <f t="shared" si="207"/>
        <v>2026</v>
      </c>
      <c r="C1667" s="129">
        <f t="shared" si="208"/>
        <v>2025</v>
      </c>
      <c r="D1667" s="2" t="s">
        <v>155</v>
      </c>
      <c r="E1667" s="2" t="s">
        <v>155</v>
      </c>
      <c r="F1667" s="39">
        <v>45839</v>
      </c>
      <c r="G1667" s="2">
        <f>DAY(EOMONTH(TA[[#This Row],[Month Year]],0))</f>
        <v>31</v>
      </c>
      <c r="H1667" s="21">
        <v>45864</v>
      </c>
      <c r="I1667" s="41">
        <f>IFERROR(VLOOKUP(TA[[#This Row],[Date]],Raw_Data[[Date]:[Sunset Time (POA&lt;20 W/m2)]],3,0),"")</f>
        <v>0.27430555555555558</v>
      </c>
      <c r="J1667" s="41">
        <f>IFERROR(VLOOKUP(TA[[#This Row],[Date]],Raw_Data[[Date]:[Sunset Time (POA&lt;20 W/m2)]],4,0),"")</f>
        <v>0.77361111111111114</v>
      </c>
      <c r="K1667" s="35">
        <f>IFERROR((TA[[#This Row],[Sunset Time (POA&lt;20 W/m2)]]-TA[[#This Row],[Sunrise Time (POA&gt;20 W/m2)]])*24,"")</f>
        <v>11.983333333333334</v>
      </c>
      <c r="L1667" s="2" t="s">
        <v>312</v>
      </c>
      <c r="M1667" s="42">
        <f>IFERROR(VLOOKUP(TA[[#This Row],[Affected Equipment]],'Basic Data'!$I$2:$K$40,3,0),"")</f>
        <v>5.74712643678161E-3</v>
      </c>
      <c r="N1667">
        <v>-28</v>
      </c>
      <c r="O1667" t="s">
        <v>133</v>
      </c>
      <c r="P1667" s="22" t="s">
        <v>330</v>
      </c>
      <c r="Q1667" s="2" t="s">
        <v>323</v>
      </c>
      <c r="R1667">
        <v>27</v>
      </c>
      <c r="S1667" s="2">
        <v>42</v>
      </c>
      <c r="T1667" t="s">
        <v>297</v>
      </c>
      <c r="U1667" t="s">
        <v>300</v>
      </c>
      <c r="V1667" t="s">
        <v>301</v>
      </c>
      <c r="W1667" s="41">
        <f>IFERROR(VLOOKUP(TA[[#This Row],[Date]],Raw_Data[[Date]:[Sunset Time (POA&lt;20 W/m2)]],3,0),"")</f>
        <v>0.27430555555555558</v>
      </c>
      <c r="X1667" s="41">
        <f>IFERROR(VLOOKUP(TA[[#This Row],[Date]],Raw_Data[[Date]:[Sunset Time (POA&lt;20 W/m2)]],3,0),"")</f>
        <v>0.27430555555555558</v>
      </c>
      <c r="Y1667" s="34"/>
      <c r="Z1667" s="34">
        <v>0.76041666666666663</v>
      </c>
      <c r="AA1667" s="35">
        <f>IF(TA[[#This Row],[Work Start time on Fault]]="NA","",(TA[[#This Row],[Fault Acknowledgement Time ]]-TA[[#This Row],[Fault Time]])*24)</f>
        <v>0</v>
      </c>
      <c r="AB1667" s="35">
        <f>(TA[[#This Row],[Work Start time on Fault]]-TA[[#This Row],[Fault Time]])*24</f>
        <v>-6.5833333333333339</v>
      </c>
      <c r="AC1667" s="34">
        <f>(TA[[#This Row],[Work Completion time on fault]]-TA[[#This Row],[Fault Time]])*24</f>
        <v>11.666666666666664</v>
      </c>
      <c r="AD1667" s="35">
        <f>IFERROR((TA[[#This Row],[Work Completion time on fault]]-TA[[#This Row],[Fault Time]])*24,"")</f>
        <v>11.666666666666664</v>
      </c>
      <c r="AE1667" t="s">
        <v>309</v>
      </c>
      <c r="AF1667" t="s">
        <v>256</v>
      </c>
      <c r="AG1667" s="2"/>
      <c r="AH1667" s="44">
        <f>1-COS(RADIANS(TA[[#This Row],[Avg. Target Angle during Fault Time (Radians)]]-TA[[#This Row],[Angle of affected equipment ]]))</f>
        <v>0.11705240714107301</v>
      </c>
      <c r="AI1667" s="35">
        <f>IFERROR(TA[[#This Row],[Breakdown Time]]*TA[[#This Row],[Plant Equivalent Weightage]],"")</f>
        <v>6.7049808429118771E-2</v>
      </c>
    </row>
    <row r="1668" spans="1:35">
      <c r="A1668" s="2">
        <f t="shared" si="209"/>
        <v>1665</v>
      </c>
      <c r="B1668" s="156">
        <f t="shared" ref="B1668:B1680" si="210">YEAR(H1668)+IF(MONTH(H1668)&gt;=4,1,0)</f>
        <v>2026</v>
      </c>
      <c r="C1668" s="129">
        <f t="shared" ref="C1668:C1680" si="211">YEAR(H1668)</f>
        <v>2025</v>
      </c>
      <c r="D1668" s="2" t="s">
        <v>155</v>
      </c>
      <c r="E1668" s="2" t="s">
        <v>155</v>
      </c>
      <c r="F1668" s="39">
        <v>45839</v>
      </c>
      <c r="G1668" s="2">
        <f>DAY(EOMONTH(TA[[#This Row],[Month Year]],0))</f>
        <v>31</v>
      </c>
      <c r="H1668" s="21">
        <v>45865</v>
      </c>
      <c r="I1668" s="41">
        <f>IFERROR(VLOOKUP(TA[[#This Row],[Date]],Raw_Data[[Date]:[Sunset Time (POA&lt;20 W/m2)]],3,0),"")</f>
        <v>0.2590277777777778</v>
      </c>
      <c r="J1668" s="41">
        <f>IFERROR(VLOOKUP(TA[[#This Row],[Date]],Raw_Data[[Date]:[Sunset Time (POA&lt;20 W/m2)]],4,0),"")</f>
        <v>0.78402777777777777</v>
      </c>
      <c r="K1668" s="35">
        <f>IFERROR((TA[[#This Row],[Sunset Time (POA&lt;20 W/m2)]]-TA[[#This Row],[Sunrise Time (POA&gt;20 W/m2)]])*24,"")</f>
        <v>12.599999999999998</v>
      </c>
      <c r="L1668" s="2" t="s">
        <v>294</v>
      </c>
      <c r="M1668" s="42">
        <f>IFERROR(VLOOKUP(TA[[#This Row],[Affected Equipment]],'Basic Data'!$I$2:$K$40,3,0),"")</f>
        <v>1.7241379310344799E-3</v>
      </c>
      <c r="N1668">
        <v>-28</v>
      </c>
      <c r="O1668" t="s">
        <v>135</v>
      </c>
      <c r="P1668" s="127" t="s">
        <v>318</v>
      </c>
      <c r="Q1668" s="126" t="s">
        <v>318</v>
      </c>
      <c r="R1668">
        <v>131</v>
      </c>
      <c r="S1668" s="2">
        <v>38</v>
      </c>
      <c r="T1668" t="s">
        <v>295</v>
      </c>
      <c r="U1668" t="s">
        <v>300</v>
      </c>
      <c r="V1668" t="s">
        <v>298</v>
      </c>
      <c r="W1668" s="41"/>
      <c r="X1668" s="41"/>
      <c r="Y1668" s="34"/>
      <c r="Z1668" s="34"/>
      <c r="AA1668" s="35">
        <f>IF(TA[[#This Row],[Work Start time on Fault]]="NA","",(TA[[#This Row],[Fault Acknowledgement Time ]]-TA[[#This Row],[Fault Time]])*24)</f>
        <v>0</v>
      </c>
      <c r="AB1668" s="35">
        <f>(TA[[#This Row],[Work Start time on Fault]]-TA[[#This Row],[Fault Time]])*24</f>
        <v>0</v>
      </c>
      <c r="AC1668" s="34">
        <f>(TA[[#This Row],[Work Completion time on fault]]-TA[[#This Row],[Fault Time]])*24</f>
        <v>0</v>
      </c>
      <c r="AD1668" s="35">
        <f>IFERROR((TA[[#This Row],[Work Completion time on fault]]-TA[[#This Row],[Fault Time]])*24,"")</f>
        <v>0</v>
      </c>
      <c r="AE1668" t="s">
        <v>328</v>
      </c>
      <c r="AF1668" t="s">
        <v>256</v>
      </c>
      <c r="AG1668" s="2"/>
      <c r="AH1668" s="44">
        <f>1-COS(RADIANS(TA[[#This Row],[Avg. Target Angle during Fault Time (Radians)]]-TA[[#This Row],[Angle of affected equipment ]]))</f>
        <v>0.11705240714107301</v>
      </c>
      <c r="AI1668" s="35">
        <f>IFERROR(TA[[#This Row],[Breakdown Time]]*TA[[#This Row],[Plant Equivalent Weightage]],"")</f>
        <v>0</v>
      </c>
    </row>
    <row r="1669" spans="1:35">
      <c r="A1669" s="2">
        <f t="shared" si="209"/>
        <v>1666</v>
      </c>
      <c r="B1669" s="156">
        <f t="shared" si="210"/>
        <v>2026</v>
      </c>
      <c r="C1669" s="129">
        <f t="shared" si="211"/>
        <v>2025</v>
      </c>
      <c r="D1669" s="2" t="s">
        <v>155</v>
      </c>
      <c r="E1669" s="2" t="s">
        <v>155</v>
      </c>
      <c r="F1669" s="39">
        <v>45839</v>
      </c>
      <c r="G1669" s="2">
        <f>DAY(EOMONTH(TA[[#This Row],[Month Year]],0))</f>
        <v>31</v>
      </c>
      <c r="H1669" s="21">
        <v>45865</v>
      </c>
      <c r="I1669" s="41">
        <f>IFERROR(VLOOKUP(TA[[#This Row],[Date]],Raw_Data[[Date]:[Sunset Time (POA&lt;20 W/m2)]],3,0),"")</f>
        <v>0.2590277777777778</v>
      </c>
      <c r="J1669" s="41">
        <f>IFERROR(VLOOKUP(TA[[#This Row],[Date]],Raw_Data[[Date]:[Sunset Time (POA&lt;20 W/m2)]],4,0),"")</f>
        <v>0.78402777777777777</v>
      </c>
      <c r="K1669" s="35">
        <f>IFERROR((TA[[#This Row],[Sunset Time (POA&lt;20 W/m2)]]-TA[[#This Row],[Sunrise Time (POA&gt;20 W/m2)]])*24,"")</f>
        <v>12.599999999999998</v>
      </c>
      <c r="L1669" s="2" t="s">
        <v>294</v>
      </c>
      <c r="M1669" s="42">
        <f>IFERROR(VLOOKUP(TA[[#This Row],[Affected Equipment]],'Basic Data'!$I$2:$K$40,3,0),"")</f>
        <v>1.7241379310344799E-3</v>
      </c>
      <c r="N1669">
        <v>-28</v>
      </c>
      <c r="O1669" t="s">
        <v>135</v>
      </c>
      <c r="P1669" s="127" t="s">
        <v>318</v>
      </c>
      <c r="Q1669" s="126" t="s">
        <v>318</v>
      </c>
      <c r="R1669">
        <v>131</v>
      </c>
      <c r="S1669" s="2">
        <v>39</v>
      </c>
      <c r="T1669" t="s">
        <v>295</v>
      </c>
      <c r="U1669" t="s">
        <v>300</v>
      </c>
      <c r="V1669" t="s">
        <v>298</v>
      </c>
      <c r="W1669" s="41"/>
      <c r="X1669" s="41"/>
      <c r="Y1669" s="34"/>
      <c r="Z1669" s="34"/>
      <c r="AA1669" s="35">
        <f>IF(TA[[#This Row],[Work Start time on Fault]]="NA","",(TA[[#This Row],[Fault Acknowledgement Time ]]-TA[[#This Row],[Fault Time]])*24)</f>
        <v>0</v>
      </c>
      <c r="AB1669" s="35">
        <f>(TA[[#This Row],[Work Start time on Fault]]-TA[[#This Row],[Fault Time]])*24</f>
        <v>0</v>
      </c>
      <c r="AC1669" s="34">
        <f>(TA[[#This Row],[Work Completion time on fault]]-TA[[#This Row],[Fault Time]])*24</f>
        <v>0</v>
      </c>
      <c r="AD1669" s="35">
        <f>IFERROR((TA[[#This Row],[Work Completion time on fault]]-TA[[#This Row],[Fault Time]])*24,"")</f>
        <v>0</v>
      </c>
      <c r="AE1669" t="s">
        <v>328</v>
      </c>
      <c r="AF1669" t="s">
        <v>256</v>
      </c>
      <c r="AG1669" s="2"/>
      <c r="AH1669" s="44">
        <f>1-COS(RADIANS(TA[[#This Row],[Avg. Target Angle during Fault Time (Radians)]]-TA[[#This Row],[Angle of affected equipment ]]))</f>
        <v>0.11705240714107301</v>
      </c>
      <c r="AI1669" s="35">
        <f>IFERROR(TA[[#This Row],[Breakdown Time]]*TA[[#This Row],[Plant Equivalent Weightage]],"")</f>
        <v>0</v>
      </c>
    </row>
    <row r="1670" spans="1:35">
      <c r="A1670" s="2">
        <f t="shared" si="209"/>
        <v>1667</v>
      </c>
      <c r="B1670" s="156">
        <f t="shared" si="210"/>
        <v>2026</v>
      </c>
      <c r="C1670" s="129">
        <f t="shared" si="211"/>
        <v>2025</v>
      </c>
      <c r="D1670" s="2" t="s">
        <v>155</v>
      </c>
      <c r="E1670" s="2" t="s">
        <v>155</v>
      </c>
      <c r="F1670" s="39">
        <v>45839</v>
      </c>
      <c r="G1670" s="2">
        <f>DAY(EOMONTH(TA[[#This Row],[Month Year]],0))</f>
        <v>31</v>
      </c>
      <c r="H1670" s="21">
        <v>45865</v>
      </c>
      <c r="I1670" s="41">
        <f>IFERROR(VLOOKUP(TA[[#This Row],[Date]],Raw_Data[[Date]:[Sunset Time (POA&lt;20 W/m2)]],3,0),"")</f>
        <v>0.2590277777777778</v>
      </c>
      <c r="J1670" s="41">
        <f>IFERROR(VLOOKUP(TA[[#This Row],[Date]],Raw_Data[[Date]:[Sunset Time (POA&lt;20 W/m2)]],4,0),"")</f>
        <v>0.78402777777777777</v>
      </c>
      <c r="K1670" s="35">
        <f>IFERROR((TA[[#This Row],[Sunset Time (POA&lt;20 W/m2)]]-TA[[#This Row],[Sunrise Time (POA&gt;20 W/m2)]])*24,"")</f>
        <v>12.599999999999998</v>
      </c>
      <c r="L1670" s="2" t="s">
        <v>296</v>
      </c>
      <c r="M1670" s="42">
        <f>IFERROR(VLOOKUP(TA[[#This Row],[Affected Equipment]],'Basic Data'!$I$2:$K$40,3,0),"")</f>
        <v>8.6206896551724102E-3</v>
      </c>
      <c r="N1670">
        <v>-28</v>
      </c>
      <c r="O1670" t="s">
        <v>135</v>
      </c>
      <c r="P1670" s="127" t="s">
        <v>318</v>
      </c>
      <c r="Q1670" s="2" t="s">
        <v>321</v>
      </c>
      <c r="R1670">
        <v>133</v>
      </c>
      <c r="S1670" s="2">
        <v>26</v>
      </c>
      <c r="T1670" t="s">
        <v>297</v>
      </c>
      <c r="U1670" t="s">
        <v>300</v>
      </c>
      <c r="V1670" t="s">
        <v>314</v>
      </c>
      <c r="W1670" s="41">
        <f>IFERROR(VLOOKUP(TA[[#This Row],[Date]],Raw_Data[[Date]:[Sunset Time (POA&lt;20 W/m2)]],3,0),"")</f>
        <v>0.2590277777777778</v>
      </c>
      <c r="X1670" s="41">
        <f>IFERROR(VLOOKUP(TA[[#This Row],[Date]],Raw_Data[[Date]:[Sunset Time (POA&lt;20 W/m2)]],3,0),"")</f>
        <v>0.2590277777777778</v>
      </c>
      <c r="Y1670" s="34"/>
      <c r="Z1670" s="34">
        <v>0.76041666666666663</v>
      </c>
      <c r="AA1670" s="35">
        <f>IF(TA[[#This Row],[Work Start time on Fault]]="NA","",(TA[[#This Row],[Fault Acknowledgement Time ]]-TA[[#This Row],[Fault Time]])*24)</f>
        <v>0</v>
      </c>
      <c r="AB1670" s="35">
        <f>(TA[[#This Row],[Work Start time on Fault]]-TA[[#This Row],[Fault Time]])*24</f>
        <v>-6.2166666666666668</v>
      </c>
      <c r="AC1670" s="34">
        <f>(TA[[#This Row],[Work Completion time on fault]]-TA[[#This Row],[Fault Time]])*24</f>
        <v>12.033333333333333</v>
      </c>
      <c r="AD1670" s="35">
        <f>IFERROR((TA[[#This Row],[Work Completion time on fault]]-TA[[#This Row],[Fault Time]])*24,"")</f>
        <v>12.033333333333333</v>
      </c>
      <c r="AE1670" t="s">
        <v>328</v>
      </c>
      <c r="AF1670" t="s">
        <v>256</v>
      </c>
      <c r="AG1670" s="2"/>
      <c r="AH1670" s="44">
        <f>1-COS(RADIANS(TA[[#This Row],[Avg. Target Angle during Fault Time (Radians)]]-TA[[#This Row],[Angle of affected equipment ]]))</f>
        <v>0.11705240714107301</v>
      </c>
      <c r="AI1670" s="35">
        <f>IFERROR(TA[[#This Row],[Breakdown Time]]*TA[[#This Row],[Plant Equivalent Weightage]],"")</f>
        <v>0.10373563218390801</v>
      </c>
    </row>
    <row r="1671" spans="1:35">
      <c r="A1671" s="2">
        <f t="shared" si="209"/>
        <v>1668</v>
      </c>
      <c r="B1671" s="156">
        <f t="shared" si="210"/>
        <v>2026</v>
      </c>
      <c r="C1671" s="129">
        <f t="shared" si="211"/>
        <v>2025</v>
      </c>
      <c r="D1671" s="2" t="s">
        <v>155</v>
      </c>
      <c r="E1671" s="2" t="s">
        <v>155</v>
      </c>
      <c r="F1671" s="39">
        <v>45839</v>
      </c>
      <c r="G1671" s="2">
        <f>DAY(EOMONTH(TA[[#This Row],[Month Year]],0))</f>
        <v>31</v>
      </c>
      <c r="H1671" s="21">
        <v>45865</v>
      </c>
      <c r="I1671" s="41">
        <f>IFERROR(VLOOKUP(TA[[#This Row],[Date]],Raw_Data[[Date]:[Sunset Time (POA&lt;20 W/m2)]],3,0),"")</f>
        <v>0.2590277777777778</v>
      </c>
      <c r="J1671" s="41">
        <f>IFERROR(VLOOKUP(TA[[#This Row],[Date]],Raw_Data[[Date]:[Sunset Time (POA&lt;20 W/m2)]],4,0),"")</f>
        <v>0.78402777777777777</v>
      </c>
      <c r="K1671" s="35">
        <f>IFERROR((TA[[#This Row],[Sunset Time (POA&lt;20 W/m2)]]-TA[[#This Row],[Sunrise Time (POA&gt;20 W/m2)]])*24,"")</f>
        <v>12.599999999999998</v>
      </c>
      <c r="L1671" s="2" t="s">
        <v>294</v>
      </c>
      <c r="M1671" s="42">
        <f>IFERROR(VLOOKUP(TA[[#This Row],[Affected Equipment]],'Basic Data'!$I$2:$K$40,3,0),"")</f>
        <v>1.7241379310344799E-3</v>
      </c>
      <c r="N1671">
        <v>-28</v>
      </c>
      <c r="O1671" t="s">
        <v>133</v>
      </c>
      <c r="P1671" s="127" t="s">
        <v>316</v>
      </c>
      <c r="Q1671" s="126" t="s">
        <v>317</v>
      </c>
      <c r="R1671">
        <v>7</v>
      </c>
      <c r="S1671" s="2">
        <v>32</v>
      </c>
      <c r="T1671" t="s">
        <v>295</v>
      </c>
      <c r="U1671" t="s">
        <v>300</v>
      </c>
      <c r="V1671" t="s">
        <v>298</v>
      </c>
      <c r="W1671" s="41"/>
      <c r="X1671" s="41"/>
      <c r="Y1671" s="34"/>
      <c r="Z1671" s="34"/>
      <c r="AA1671" s="35">
        <f>IF(TA[[#This Row],[Work Start time on Fault]]="NA","",(TA[[#This Row],[Fault Acknowledgement Time ]]-TA[[#This Row],[Fault Time]])*24)</f>
        <v>0</v>
      </c>
      <c r="AB1671" s="35">
        <f>(TA[[#This Row],[Work Start time on Fault]]-TA[[#This Row],[Fault Time]])*24</f>
        <v>0</v>
      </c>
      <c r="AC1671" s="34">
        <f>(TA[[#This Row],[Work Completion time on fault]]-TA[[#This Row],[Fault Time]])*24</f>
        <v>0</v>
      </c>
      <c r="AD1671" s="35">
        <f>IFERROR((TA[[#This Row],[Work Completion time on fault]]-TA[[#This Row],[Fault Time]])*24,"")</f>
        <v>0</v>
      </c>
      <c r="AE1671" t="s">
        <v>328</v>
      </c>
      <c r="AF1671" t="s">
        <v>256</v>
      </c>
      <c r="AG1671" s="2"/>
      <c r="AH1671" s="44">
        <f>1-COS(RADIANS(TA[[#This Row],[Avg. Target Angle during Fault Time (Radians)]]-TA[[#This Row],[Angle of affected equipment ]]))</f>
        <v>0.11705240714107301</v>
      </c>
      <c r="AI1671" s="35">
        <f>IFERROR(TA[[#This Row],[Breakdown Time]]*TA[[#This Row],[Plant Equivalent Weightage]],"")</f>
        <v>0</v>
      </c>
    </row>
    <row r="1672" spans="1:35">
      <c r="A1672" s="2">
        <f t="shared" si="209"/>
        <v>1669</v>
      </c>
      <c r="B1672" s="156">
        <f t="shared" si="210"/>
        <v>2026</v>
      </c>
      <c r="C1672" s="129">
        <f t="shared" si="211"/>
        <v>2025</v>
      </c>
      <c r="D1672" s="2" t="s">
        <v>155</v>
      </c>
      <c r="E1672" s="2" t="s">
        <v>155</v>
      </c>
      <c r="F1672" s="39">
        <v>45839</v>
      </c>
      <c r="G1672" s="2">
        <f>DAY(EOMONTH(TA[[#This Row],[Month Year]],0))</f>
        <v>31</v>
      </c>
      <c r="H1672" s="21">
        <v>45865</v>
      </c>
      <c r="I1672" s="41">
        <f>IFERROR(VLOOKUP(TA[[#This Row],[Date]],Raw_Data[[Date]:[Sunset Time (POA&lt;20 W/m2)]],3,0),"")</f>
        <v>0.2590277777777778</v>
      </c>
      <c r="J1672" s="41">
        <f>IFERROR(VLOOKUP(TA[[#This Row],[Date]],Raw_Data[[Date]:[Sunset Time (POA&lt;20 W/m2)]],4,0),"")</f>
        <v>0.78402777777777777</v>
      </c>
      <c r="K1672" s="35">
        <f>IFERROR((TA[[#This Row],[Sunset Time (POA&lt;20 W/m2)]]-TA[[#This Row],[Sunrise Time (POA&gt;20 W/m2)]])*24,"")</f>
        <v>12.599999999999998</v>
      </c>
      <c r="L1672" s="2" t="s">
        <v>294</v>
      </c>
      <c r="M1672" s="42">
        <f>IFERROR(VLOOKUP(TA[[#This Row],[Affected Equipment]],'Basic Data'!$I$2:$K$40,3,0),"")</f>
        <v>1.7241379310344799E-3</v>
      </c>
      <c r="N1672">
        <v>-28</v>
      </c>
      <c r="O1672" t="s">
        <v>137</v>
      </c>
      <c r="P1672" s="127" t="s">
        <v>315</v>
      </c>
      <c r="Q1672" s="126" t="s">
        <v>319</v>
      </c>
      <c r="R1672">
        <v>166</v>
      </c>
      <c r="S1672" s="2">
        <v>91</v>
      </c>
      <c r="T1672" t="s">
        <v>295</v>
      </c>
      <c r="U1672" t="s">
        <v>300</v>
      </c>
      <c r="V1672" t="s">
        <v>298</v>
      </c>
      <c r="W1672" s="41"/>
      <c r="X1672" s="41"/>
      <c r="Y1672" s="34"/>
      <c r="Z1672" s="34"/>
      <c r="AA1672" s="35">
        <f>IF(TA[[#This Row],[Work Start time on Fault]]="NA","",(TA[[#This Row],[Fault Acknowledgement Time ]]-TA[[#This Row],[Fault Time]])*24)</f>
        <v>0</v>
      </c>
      <c r="AB1672" s="35">
        <f>(TA[[#This Row],[Work Start time on Fault]]-TA[[#This Row],[Fault Time]])*24</f>
        <v>0</v>
      </c>
      <c r="AC1672" s="34">
        <f>(TA[[#This Row],[Work Completion time on fault]]-TA[[#This Row],[Fault Time]])*24</f>
        <v>0</v>
      </c>
      <c r="AD1672" s="35">
        <f>IFERROR((TA[[#This Row],[Work Completion time on fault]]-TA[[#This Row],[Fault Time]])*24,"")</f>
        <v>0</v>
      </c>
      <c r="AE1672" t="s">
        <v>328</v>
      </c>
      <c r="AF1672" t="s">
        <v>256</v>
      </c>
      <c r="AG1672" s="2"/>
      <c r="AH1672" s="44">
        <f>1-COS(RADIANS(TA[[#This Row],[Avg. Target Angle during Fault Time (Radians)]]-TA[[#This Row],[Angle of affected equipment ]]))</f>
        <v>0.11705240714107301</v>
      </c>
      <c r="AI1672" s="35">
        <f>IFERROR(TA[[#This Row],[Breakdown Time]]*TA[[#This Row],[Plant Equivalent Weightage]],"")</f>
        <v>0</v>
      </c>
    </row>
    <row r="1673" spans="1:35">
      <c r="A1673" s="2">
        <f t="shared" si="209"/>
        <v>1670</v>
      </c>
      <c r="B1673" s="156">
        <f t="shared" si="210"/>
        <v>2026</v>
      </c>
      <c r="C1673" s="129">
        <f t="shared" si="211"/>
        <v>2025</v>
      </c>
      <c r="D1673" s="2" t="s">
        <v>155</v>
      </c>
      <c r="E1673" s="2" t="s">
        <v>155</v>
      </c>
      <c r="F1673" s="39">
        <v>45839</v>
      </c>
      <c r="G1673" s="2">
        <f>DAY(EOMONTH(TA[[#This Row],[Month Year]],0))</f>
        <v>31</v>
      </c>
      <c r="H1673" s="21">
        <v>45865</v>
      </c>
      <c r="I1673" s="41">
        <f>IFERROR(VLOOKUP(TA[[#This Row],[Date]],Raw_Data[[Date]:[Sunset Time (POA&lt;20 W/m2)]],3,0),"")</f>
        <v>0.2590277777777778</v>
      </c>
      <c r="J1673" s="41">
        <f>IFERROR(VLOOKUP(TA[[#This Row],[Date]],Raw_Data[[Date]:[Sunset Time (POA&lt;20 W/m2)]],4,0),"")</f>
        <v>0.78402777777777777</v>
      </c>
      <c r="K1673" s="35">
        <f>IFERROR((TA[[#This Row],[Sunset Time (POA&lt;20 W/m2)]]-TA[[#This Row],[Sunrise Time (POA&gt;20 W/m2)]])*24,"")</f>
        <v>12.599999999999998</v>
      </c>
      <c r="L1673" s="2" t="s">
        <v>294</v>
      </c>
      <c r="M1673" s="42">
        <f>IFERROR(VLOOKUP(TA[[#This Row],[Affected Equipment]],'Basic Data'!$I$2:$K$40,3,0),"")</f>
        <v>1.7241379310344799E-3</v>
      </c>
      <c r="N1673">
        <v>-28</v>
      </c>
      <c r="O1673" t="s">
        <v>133</v>
      </c>
      <c r="P1673" s="127" t="s">
        <v>316</v>
      </c>
      <c r="Q1673" s="126" t="s">
        <v>316</v>
      </c>
      <c r="R1673">
        <v>117</v>
      </c>
      <c r="S1673" s="2">
        <v>20</v>
      </c>
      <c r="T1673" t="s">
        <v>295</v>
      </c>
      <c r="U1673" t="s">
        <v>300</v>
      </c>
      <c r="V1673" t="s">
        <v>298</v>
      </c>
      <c r="W1673" s="41"/>
      <c r="X1673" s="41"/>
      <c r="Y1673" s="34"/>
      <c r="Z1673" s="34"/>
      <c r="AA1673" s="35">
        <f>IF(TA[[#This Row],[Work Start time on Fault]]="NA","",(TA[[#This Row],[Fault Acknowledgement Time ]]-TA[[#This Row],[Fault Time]])*24)</f>
        <v>0</v>
      </c>
      <c r="AB1673" s="35">
        <f>(TA[[#This Row],[Work Start time on Fault]]-TA[[#This Row],[Fault Time]])*24</f>
        <v>0</v>
      </c>
      <c r="AC1673" s="34">
        <f>(TA[[#This Row],[Work Completion time on fault]]-TA[[#This Row],[Fault Time]])*24</f>
        <v>0</v>
      </c>
      <c r="AD1673" s="35">
        <f>IFERROR((TA[[#This Row],[Work Completion time on fault]]-TA[[#This Row],[Fault Time]])*24,"")</f>
        <v>0</v>
      </c>
      <c r="AE1673" t="s">
        <v>328</v>
      </c>
      <c r="AF1673" t="s">
        <v>256</v>
      </c>
      <c r="AG1673" s="2"/>
      <c r="AH1673" s="44">
        <f>1-COS(RADIANS(TA[[#This Row],[Avg. Target Angle during Fault Time (Radians)]]-TA[[#This Row],[Angle of affected equipment ]]))</f>
        <v>0.11705240714107301</v>
      </c>
      <c r="AI1673" s="35">
        <f>IFERROR(TA[[#This Row],[Breakdown Time]]*TA[[#This Row],[Plant Equivalent Weightage]],"")</f>
        <v>0</v>
      </c>
    </row>
    <row r="1674" spans="1:35">
      <c r="A1674" s="2">
        <f t="shared" si="209"/>
        <v>1671</v>
      </c>
      <c r="B1674" s="156">
        <f t="shared" si="210"/>
        <v>2026</v>
      </c>
      <c r="C1674" s="129">
        <f t="shared" si="211"/>
        <v>2025</v>
      </c>
      <c r="D1674" s="2" t="s">
        <v>155</v>
      </c>
      <c r="E1674" s="2" t="s">
        <v>155</v>
      </c>
      <c r="F1674" s="39">
        <v>45839</v>
      </c>
      <c r="G1674" s="2">
        <f>DAY(EOMONTH(TA[[#This Row],[Month Year]],0))</f>
        <v>31</v>
      </c>
      <c r="H1674" s="21">
        <v>45865</v>
      </c>
      <c r="I1674" s="41">
        <f>IFERROR(VLOOKUP(TA[[#This Row],[Date]],Raw_Data[[Date]:[Sunset Time (POA&lt;20 W/m2)]],3,0),"")</f>
        <v>0.2590277777777778</v>
      </c>
      <c r="J1674" s="41">
        <f>IFERROR(VLOOKUP(TA[[#This Row],[Date]],Raw_Data[[Date]:[Sunset Time (POA&lt;20 W/m2)]],4,0),"")</f>
        <v>0.78402777777777777</v>
      </c>
      <c r="K1674" s="35">
        <f>IFERROR((TA[[#This Row],[Sunset Time (POA&lt;20 W/m2)]]-TA[[#This Row],[Sunrise Time (POA&gt;20 W/m2)]])*24,"")</f>
        <v>12.599999999999998</v>
      </c>
      <c r="L1674" s="2" t="s">
        <v>294</v>
      </c>
      <c r="M1674" s="42">
        <f>IFERROR(VLOOKUP(TA[[#This Row],[Affected Equipment]],'Basic Data'!$I$2:$K$40,3,0),"")</f>
        <v>1.7241379310344799E-3</v>
      </c>
      <c r="N1674">
        <v>-28</v>
      </c>
      <c r="O1674" t="s">
        <v>133</v>
      </c>
      <c r="P1674" s="127" t="s">
        <v>316</v>
      </c>
      <c r="Q1674" s="126" t="s">
        <v>316</v>
      </c>
      <c r="R1674">
        <v>118</v>
      </c>
      <c r="S1674" s="2">
        <v>22</v>
      </c>
      <c r="T1674" t="s">
        <v>295</v>
      </c>
      <c r="U1674" t="s">
        <v>300</v>
      </c>
      <c r="V1674" t="s">
        <v>298</v>
      </c>
      <c r="W1674" s="41"/>
      <c r="X1674" s="41"/>
      <c r="Y1674" s="34"/>
      <c r="Z1674" s="34"/>
      <c r="AA1674" s="35">
        <f>IF(TA[[#This Row],[Work Start time on Fault]]="NA","",(TA[[#This Row],[Fault Acknowledgement Time ]]-TA[[#This Row],[Fault Time]])*24)</f>
        <v>0</v>
      </c>
      <c r="AB1674" s="35">
        <f>(TA[[#This Row],[Work Start time on Fault]]-TA[[#This Row],[Fault Time]])*24</f>
        <v>0</v>
      </c>
      <c r="AC1674" s="34">
        <f>(TA[[#This Row],[Work Completion time on fault]]-TA[[#This Row],[Fault Time]])*24</f>
        <v>0</v>
      </c>
      <c r="AD1674" s="35">
        <f>IFERROR((TA[[#This Row],[Work Completion time on fault]]-TA[[#This Row],[Fault Time]])*24,"")</f>
        <v>0</v>
      </c>
      <c r="AE1674" t="s">
        <v>328</v>
      </c>
      <c r="AF1674" t="s">
        <v>256</v>
      </c>
      <c r="AG1674" s="2"/>
      <c r="AH1674" s="44">
        <f>1-COS(RADIANS(TA[[#This Row],[Avg. Target Angle during Fault Time (Radians)]]-TA[[#This Row],[Angle of affected equipment ]]))</f>
        <v>0.11705240714107301</v>
      </c>
      <c r="AI1674" s="35">
        <f>IFERROR(TA[[#This Row],[Breakdown Time]]*TA[[#This Row],[Plant Equivalent Weightage]],"")</f>
        <v>0</v>
      </c>
    </row>
    <row r="1675" spans="1:35">
      <c r="A1675" s="2">
        <f t="shared" si="209"/>
        <v>1672</v>
      </c>
      <c r="B1675" s="156">
        <f t="shared" si="210"/>
        <v>2026</v>
      </c>
      <c r="C1675" s="129">
        <f t="shared" si="211"/>
        <v>2025</v>
      </c>
      <c r="D1675" s="2" t="s">
        <v>155</v>
      </c>
      <c r="E1675" s="2" t="s">
        <v>155</v>
      </c>
      <c r="F1675" s="39">
        <v>45839</v>
      </c>
      <c r="G1675" s="2">
        <f>DAY(EOMONTH(TA[[#This Row],[Month Year]],0))</f>
        <v>31</v>
      </c>
      <c r="H1675" s="21">
        <v>45865</v>
      </c>
      <c r="I1675" s="41">
        <f>IFERROR(VLOOKUP(TA[[#This Row],[Date]],Raw_Data[[Date]:[Sunset Time (POA&lt;20 W/m2)]],3,0),"")</f>
        <v>0.2590277777777778</v>
      </c>
      <c r="J1675" s="41">
        <f>IFERROR(VLOOKUP(TA[[#This Row],[Date]],Raw_Data[[Date]:[Sunset Time (POA&lt;20 W/m2)]],4,0),"")</f>
        <v>0.78402777777777777</v>
      </c>
      <c r="K1675" s="35">
        <f>IFERROR((TA[[#This Row],[Sunset Time (POA&lt;20 W/m2)]]-TA[[#This Row],[Sunrise Time (POA&gt;20 W/m2)]])*24,"")</f>
        <v>12.599999999999998</v>
      </c>
      <c r="L1675" s="2" t="s">
        <v>296</v>
      </c>
      <c r="M1675" s="42">
        <f>IFERROR(VLOOKUP(TA[[#This Row],[Affected Equipment]],'Basic Data'!$I$2:$K$40,3,0),"")</f>
        <v>8.6206896551724102E-3</v>
      </c>
      <c r="N1675">
        <v>-28</v>
      </c>
      <c r="O1675" t="s">
        <v>135</v>
      </c>
      <c r="P1675" s="22" t="s">
        <v>323</v>
      </c>
      <c r="Q1675" s="2" t="s">
        <v>329</v>
      </c>
      <c r="R1675">
        <v>45</v>
      </c>
      <c r="S1675" s="2">
        <v>8</v>
      </c>
      <c r="T1675" t="s">
        <v>297</v>
      </c>
      <c r="U1675" t="s">
        <v>300</v>
      </c>
      <c r="V1675" t="s">
        <v>301</v>
      </c>
      <c r="W1675" s="41"/>
      <c r="X1675" s="41"/>
      <c r="Y1675" s="34"/>
      <c r="Z1675" s="34"/>
      <c r="AA1675" s="35">
        <f>IF(TA[[#This Row],[Work Start time on Fault]]="NA","",(TA[[#This Row],[Fault Acknowledgement Time ]]-TA[[#This Row],[Fault Time]])*24)</f>
        <v>0</v>
      </c>
      <c r="AB1675" s="35">
        <f>(TA[[#This Row],[Work Start time on Fault]]-TA[[#This Row],[Fault Time]])*24</f>
        <v>0</v>
      </c>
      <c r="AC1675" s="34">
        <f>(TA[[#This Row],[Work Completion time on fault]]-TA[[#This Row],[Fault Time]])*24</f>
        <v>0</v>
      </c>
      <c r="AD1675" s="35">
        <f>IFERROR((TA[[#This Row],[Work Completion time on fault]]-TA[[#This Row],[Fault Time]])*24,"")</f>
        <v>0</v>
      </c>
      <c r="AE1675" t="s">
        <v>328</v>
      </c>
      <c r="AF1675" t="s">
        <v>256</v>
      </c>
      <c r="AG1675" s="2"/>
      <c r="AH1675" s="44">
        <f>1-COS(RADIANS(TA[[#This Row],[Avg. Target Angle during Fault Time (Radians)]]-TA[[#This Row],[Angle of affected equipment ]]))</f>
        <v>0.11705240714107301</v>
      </c>
      <c r="AI1675" s="35">
        <f>IFERROR(TA[[#This Row],[Breakdown Time]]*TA[[#This Row],[Plant Equivalent Weightage]],"")</f>
        <v>0</v>
      </c>
    </row>
    <row r="1676" spans="1:35">
      <c r="A1676" s="2">
        <f t="shared" si="209"/>
        <v>1673</v>
      </c>
      <c r="B1676" s="156">
        <f t="shared" si="210"/>
        <v>2026</v>
      </c>
      <c r="C1676" s="129">
        <f t="shared" si="211"/>
        <v>2025</v>
      </c>
      <c r="D1676" s="2" t="s">
        <v>155</v>
      </c>
      <c r="E1676" s="2" t="s">
        <v>155</v>
      </c>
      <c r="F1676" s="39">
        <v>45839</v>
      </c>
      <c r="G1676" s="2">
        <f>DAY(EOMONTH(TA[[#This Row],[Month Year]],0))</f>
        <v>31</v>
      </c>
      <c r="H1676" s="21">
        <v>45865</v>
      </c>
      <c r="I1676" s="41">
        <f>IFERROR(VLOOKUP(TA[[#This Row],[Date]],Raw_Data[[Date]:[Sunset Time (POA&lt;20 W/m2)]],3,0),"")</f>
        <v>0.2590277777777778</v>
      </c>
      <c r="J1676" s="41">
        <f>IFERROR(VLOOKUP(TA[[#This Row],[Date]],Raw_Data[[Date]:[Sunset Time (POA&lt;20 W/m2)]],4,0),"")</f>
        <v>0.78402777777777777</v>
      </c>
      <c r="K1676" s="35">
        <f>IFERROR((TA[[#This Row],[Sunset Time (POA&lt;20 W/m2)]]-TA[[#This Row],[Sunrise Time (POA&gt;20 W/m2)]])*24,"")</f>
        <v>12.599999999999998</v>
      </c>
      <c r="L1676" s="2" t="s">
        <v>296</v>
      </c>
      <c r="M1676" s="42">
        <f>IFERROR(VLOOKUP(TA[[#This Row],[Affected Equipment]],'Basic Data'!$I$2:$K$40,3,0),"")</f>
        <v>8.6206896551724102E-3</v>
      </c>
      <c r="N1676">
        <v>-28</v>
      </c>
      <c r="O1676" t="s">
        <v>135</v>
      </c>
      <c r="P1676" s="22" t="s">
        <v>323</v>
      </c>
      <c r="Q1676" s="2" t="s">
        <v>329</v>
      </c>
      <c r="R1676">
        <v>47</v>
      </c>
      <c r="S1676" s="2">
        <v>18</v>
      </c>
      <c r="T1676" t="s">
        <v>297</v>
      </c>
      <c r="U1676" t="s">
        <v>300</v>
      </c>
      <c r="V1676" t="s">
        <v>301</v>
      </c>
      <c r="W1676" s="41"/>
      <c r="X1676" s="41"/>
      <c r="Y1676" s="34"/>
      <c r="Z1676" s="34"/>
      <c r="AA1676" s="35">
        <f>IF(TA[[#This Row],[Work Start time on Fault]]="NA","",(TA[[#This Row],[Fault Acknowledgement Time ]]-TA[[#This Row],[Fault Time]])*24)</f>
        <v>0</v>
      </c>
      <c r="AB1676" s="35">
        <f>(TA[[#This Row],[Work Start time on Fault]]-TA[[#This Row],[Fault Time]])*24</f>
        <v>0</v>
      </c>
      <c r="AC1676" s="34">
        <f>(TA[[#This Row],[Work Completion time on fault]]-TA[[#This Row],[Fault Time]])*24</f>
        <v>0</v>
      </c>
      <c r="AD1676" s="35">
        <f>IFERROR((TA[[#This Row],[Work Completion time on fault]]-TA[[#This Row],[Fault Time]])*24,"")</f>
        <v>0</v>
      </c>
      <c r="AE1676" t="s">
        <v>328</v>
      </c>
      <c r="AF1676" t="s">
        <v>256</v>
      </c>
      <c r="AG1676" s="2"/>
      <c r="AH1676" s="44">
        <f>1-COS(RADIANS(TA[[#This Row],[Avg. Target Angle during Fault Time (Radians)]]-TA[[#This Row],[Angle of affected equipment ]]))</f>
        <v>0.11705240714107301</v>
      </c>
      <c r="AI1676" s="35">
        <f>IFERROR(TA[[#This Row],[Breakdown Time]]*TA[[#This Row],[Plant Equivalent Weightage]],"")</f>
        <v>0</v>
      </c>
    </row>
    <row r="1677" spans="1:35">
      <c r="A1677" s="2">
        <f t="shared" si="209"/>
        <v>1674</v>
      </c>
      <c r="B1677" s="156">
        <f t="shared" si="210"/>
        <v>2026</v>
      </c>
      <c r="C1677" s="129">
        <f t="shared" si="211"/>
        <v>2025</v>
      </c>
      <c r="D1677" s="2" t="s">
        <v>155</v>
      </c>
      <c r="E1677" s="2" t="s">
        <v>155</v>
      </c>
      <c r="F1677" s="39">
        <v>45839</v>
      </c>
      <c r="G1677" s="2">
        <f>DAY(EOMONTH(TA[[#This Row],[Month Year]],0))</f>
        <v>31</v>
      </c>
      <c r="H1677" s="21">
        <v>45865</v>
      </c>
      <c r="I1677" s="41">
        <f>IFERROR(VLOOKUP(TA[[#This Row],[Date]],Raw_Data[[Date]:[Sunset Time (POA&lt;20 W/m2)]],3,0),"")</f>
        <v>0.2590277777777778</v>
      </c>
      <c r="J1677" s="41">
        <f>IFERROR(VLOOKUP(TA[[#This Row],[Date]],Raw_Data[[Date]:[Sunset Time (POA&lt;20 W/m2)]],4,0),"")</f>
        <v>0.78402777777777777</v>
      </c>
      <c r="K1677" s="35">
        <f>IFERROR((TA[[#This Row],[Sunset Time (POA&lt;20 W/m2)]]-TA[[#This Row],[Sunrise Time (POA&gt;20 W/m2)]])*24,"")</f>
        <v>12.599999999999998</v>
      </c>
      <c r="L1677" s="2" t="s">
        <v>296</v>
      </c>
      <c r="M1677" s="42">
        <f>IFERROR(VLOOKUP(TA[[#This Row],[Affected Equipment]],'Basic Data'!$I$2:$K$40,3,0),"")</f>
        <v>8.6206896551724102E-3</v>
      </c>
      <c r="N1677">
        <v>-28</v>
      </c>
      <c r="O1677" t="s">
        <v>134</v>
      </c>
      <c r="P1677" s="22" t="s">
        <v>330</v>
      </c>
      <c r="Q1677" s="2" t="s">
        <v>323</v>
      </c>
      <c r="R1677">
        <v>30</v>
      </c>
      <c r="S1677" s="2">
        <v>57</v>
      </c>
      <c r="T1677" t="s">
        <v>297</v>
      </c>
      <c r="U1677" t="s">
        <v>300</v>
      </c>
      <c r="V1677" t="s">
        <v>301</v>
      </c>
      <c r="W1677" s="41"/>
      <c r="X1677" s="41"/>
      <c r="Y1677" s="34"/>
      <c r="Z1677" s="34"/>
      <c r="AA1677" s="35">
        <f>IF(TA[[#This Row],[Work Start time on Fault]]="NA","",(TA[[#This Row],[Fault Acknowledgement Time ]]-TA[[#This Row],[Fault Time]])*24)</f>
        <v>0</v>
      </c>
      <c r="AB1677" s="35">
        <f>(TA[[#This Row],[Work Start time on Fault]]-TA[[#This Row],[Fault Time]])*24</f>
        <v>0</v>
      </c>
      <c r="AC1677" s="34">
        <f>(TA[[#This Row],[Work Completion time on fault]]-TA[[#This Row],[Fault Time]])*24</f>
        <v>0</v>
      </c>
      <c r="AD1677" s="35">
        <f>IFERROR((TA[[#This Row],[Work Completion time on fault]]-TA[[#This Row],[Fault Time]])*24,"")</f>
        <v>0</v>
      </c>
      <c r="AE1677" t="s">
        <v>328</v>
      </c>
      <c r="AF1677" t="s">
        <v>256</v>
      </c>
      <c r="AG1677" s="2"/>
      <c r="AH1677" s="44">
        <f>1-COS(RADIANS(TA[[#This Row],[Avg. Target Angle during Fault Time (Radians)]]-TA[[#This Row],[Angle of affected equipment ]]))</f>
        <v>0.11705240714107301</v>
      </c>
      <c r="AI1677" s="35">
        <f>IFERROR(TA[[#This Row],[Breakdown Time]]*TA[[#This Row],[Plant Equivalent Weightage]],"")</f>
        <v>0</v>
      </c>
    </row>
    <row r="1678" spans="1:35">
      <c r="A1678" s="2">
        <f t="shared" si="209"/>
        <v>1675</v>
      </c>
      <c r="B1678" s="156">
        <f t="shared" si="210"/>
        <v>2026</v>
      </c>
      <c r="C1678" s="129">
        <f t="shared" si="211"/>
        <v>2025</v>
      </c>
      <c r="D1678" s="2" t="s">
        <v>155</v>
      </c>
      <c r="E1678" s="2" t="s">
        <v>155</v>
      </c>
      <c r="F1678" s="39">
        <v>45839</v>
      </c>
      <c r="G1678" s="2">
        <f>DAY(EOMONTH(TA[[#This Row],[Month Year]],0))</f>
        <v>31</v>
      </c>
      <c r="H1678" s="21">
        <v>45865</v>
      </c>
      <c r="I1678" s="41">
        <f>IFERROR(VLOOKUP(TA[[#This Row],[Date]],Raw_Data[[Date]:[Sunset Time (POA&lt;20 W/m2)]],3,0),"")</f>
        <v>0.2590277777777778</v>
      </c>
      <c r="J1678" s="41">
        <f>IFERROR(VLOOKUP(TA[[#This Row],[Date]],Raw_Data[[Date]:[Sunset Time (POA&lt;20 W/m2)]],4,0),"")</f>
        <v>0.78402777777777777</v>
      </c>
      <c r="K1678" s="35">
        <f>IFERROR((TA[[#This Row],[Sunset Time (POA&lt;20 W/m2)]]-TA[[#This Row],[Sunrise Time (POA&gt;20 W/m2)]])*24,"")</f>
        <v>12.599999999999998</v>
      </c>
      <c r="L1678" s="2" t="s">
        <v>296</v>
      </c>
      <c r="M1678" s="42">
        <f>IFERROR(VLOOKUP(TA[[#This Row],[Affected Equipment]],'Basic Data'!$I$2:$K$40,3,0),"")</f>
        <v>8.6206896551724102E-3</v>
      </c>
      <c r="N1678">
        <v>-28</v>
      </c>
      <c r="O1678" t="s">
        <v>134</v>
      </c>
      <c r="P1678" s="22" t="s">
        <v>330</v>
      </c>
      <c r="Q1678" s="2" t="s">
        <v>323</v>
      </c>
      <c r="R1678">
        <v>31</v>
      </c>
      <c r="S1678" s="2">
        <v>61</v>
      </c>
      <c r="T1678" t="s">
        <v>297</v>
      </c>
      <c r="U1678" t="s">
        <v>300</v>
      </c>
      <c r="V1678" t="s">
        <v>301</v>
      </c>
      <c r="W1678" s="41"/>
      <c r="X1678" s="41"/>
      <c r="Y1678" s="34"/>
      <c r="Z1678" s="34"/>
      <c r="AA1678" s="35">
        <f>IF(TA[[#This Row],[Work Start time on Fault]]="NA","",(TA[[#This Row],[Fault Acknowledgement Time ]]-TA[[#This Row],[Fault Time]])*24)</f>
        <v>0</v>
      </c>
      <c r="AB1678" s="35">
        <f>(TA[[#This Row],[Work Start time on Fault]]-TA[[#This Row],[Fault Time]])*24</f>
        <v>0</v>
      </c>
      <c r="AC1678" s="34">
        <f>(TA[[#This Row],[Work Completion time on fault]]-TA[[#This Row],[Fault Time]])*24</f>
        <v>0</v>
      </c>
      <c r="AD1678" s="35">
        <f>IFERROR((TA[[#This Row],[Work Completion time on fault]]-TA[[#This Row],[Fault Time]])*24,"")</f>
        <v>0</v>
      </c>
      <c r="AE1678" t="s">
        <v>328</v>
      </c>
      <c r="AF1678" t="s">
        <v>256</v>
      </c>
      <c r="AG1678" s="2"/>
      <c r="AH1678" s="44">
        <f>1-COS(RADIANS(TA[[#This Row],[Avg. Target Angle during Fault Time (Radians)]]-TA[[#This Row],[Angle of affected equipment ]]))</f>
        <v>0.11705240714107301</v>
      </c>
      <c r="AI1678" s="35">
        <f>IFERROR(TA[[#This Row],[Breakdown Time]]*TA[[#This Row],[Plant Equivalent Weightage]],"")</f>
        <v>0</v>
      </c>
    </row>
    <row r="1679" spans="1:35">
      <c r="A1679" s="2">
        <f t="shared" si="209"/>
        <v>1676</v>
      </c>
      <c r="B1679" s="156">
        <f t="shared" si="210"/>
        <v>2026</v>
      </c>
      <c r="C1679" s="129">
        <f t="shared" si="211"/>
        <v>2025</v>
      </c>
      <c r="D1679" s="2" t="s">
        <v>155</v>
      </c>
      <c r="E1679" s="2" t="s">
        <v>155</v>
      </c>
      <c r="F1679" s="39">
        <v>45839</v>
      </c>
      <c r="G1679" s="2">
        <f>DAY(EOMONTH(TA[[#This Row],[Month Year]],0))</f>
        <v>31</v>
      </c>
      <c r="H1679" s="21">
        <v>45865</v>
      </c>
      <c r="I1679" s="41">
        <f>IFERROR(VLOOKUP(TA[[#This Row],[Date]],Raw_Data[[Date]:[Sunset Time (POA&lt;20 W/m2)]],3,0),"")</f>
        <v>0.2590277777777778</v>
      </c>
      <c r="J1679" s="41">
        <f>IFERROR(VLOOKUP(TA[[#This Row],[Date]],Raw_Data[[Date]:[Sunset Time (POA&lt;20 W/m2)]],4,0),"")</f>
        <v>0.78402777777777777</v>
      </c>
      <c r="K1679" s="35">
        <f>IFERROR((TA[[#This Row],[Sunset Time (POA&lt;20 W/m2)]]-TA[[#This Row],[Sunrise Time (POA&gt;20 W/m2)]])*24,"")</f>
        <v>12.599999999999998</v>
      </c>
      <c r="L1679" s="2" t="s">
        <v>312</v>
      </c>
      <c r="M1679" s="42">
        <f>IFERROR(VLOOKUP(TA[[#This Row],[Affected Equipment]],'Basic Data'!$I$2:$K$40,3,0),"")</f>
        <v>5.74712643678161E-3</v>
      </c>
      <c r="N1679">
        <v>-28</v>
      </c>
      <c r="O1679" t="s">
        <v>133</v>
      </c>
      <c r="P1679" s="22" t="s">
        <v>330</v>
      </c>
      <c r="Q1679" s="2" t="s">
        <v>323</v>
      </c>
      <c r="R1679">
        <v>26</v>
      </c>
      <c r="S1679" s="2">
        <v>37</v>
      </c>
      <c r="T1679" t="s">
        <v>297</v>
      </c>
      <c r="U1679" t="s">
        <v>300</v>
      </c>
      <c r="V1679" t="s">
        <v>301</v>
      </c>
      <c r="W1679" s="41"/>
      <c r="X1679" s="41"/>
      <c r="Y1679" s="34"/>
      <c r="Z1679" s="34"/>
      <c r="AA1679" s="35">
        <f>IF(TA[[#This Row],[Work Start time on Fault]]="NA","",(TA[[#This Row],[Fault Acknowledgement Time ]]-TA[[#This Row],[Fault Time]])*24)</f>
        <v>0</v>
      </c>
      <c r="AB1679" s="35">
        <f>(TA[[#This Row],[Work Start time on Fault]]-TA[[#This Row],[Fault Time]])*24</f>
        <v>0</v>
      </c>
      <c r="AC1679" s="34">
        <f>(TA[[#This Row],[Work Completion time on fault]]-TA[[#This Row],[Fault Time]])*24</f>
        <v>0</v>
      </c>
      <c r="AD1679" s="35">
        <f>IFERROR((TA[[#This Row],[Work Completion time on fault]]-TA[[#This Row],[Fault Time]])*24,"")</f>
        <v>0</v>
      </c>
      <c r="AE1679" t="s">
        <v>328</v>
      </c>
      <c r="AF1679" t="s">
        <v>256</v>
      </c>
      <c r="AG1679" s="2"/>
      <c r="AH1679" s="44">
        <f>1-COS(RADIANS(TA[[#This Row],[Avg. Target Angle during Fault Time (Radians)]]-TA[[#This Row],[Angle of affected equipment ]]))</f>
        <v>0.11705240714107301</v>
      </c>
      <c r="AI1679" s="35">
        <f>IFERROR(TA[[#This Row],[Breakdown Time]]*TA[[#This Row],[Plant Equivalent Weightage]],"")</f>
        <v>0</v>
      </c>
    </row>
    <row r="1680" spans="1:35">
      <c r="A1680" s="2">
        <f t="shared" si="209"/>
        <v>1677</v>
      </c>
      <c r="B1680" s="156">
        <f t="shared" si="210"/>
        <v>2026</v>
      </c>
      <c r="C1680" s="129">
        <f t="shared" si="211"/>
        <v>2025</v>
      </c>
      <c r="D1680" s="2" t="s">
        <v>155</v>
      </c>
      <c r="E1680" s="2" t="s">
        <v>155</v>
      </c>
      <c r="F1680" s="39">
        <v>45839</v>
      </c>
      <c r="G1680" s="2">
        <f>DAY(EOMONTH(TA[[#This Row],[Month Year]],0))</f>
        <v>31</v>
      </c>
      <c r="H1680" s="21">
        <v>45865</v>
      </c>
      <c r="I1680" s="41">
        <f>IFERROR(VLOOKUP(TA[[#This Row],[Date]],Raw_Data[[Date]:[Sunset Time (POA&lt;20 W/m2)]],3,0),"")</f>
        <v>0.2590277777777778</v>
      </c>
      <c r="J1680" s="41">
        <f>IFERROR(VLOOKUP(TA[[#This Row],[Date]],Raw_Data[[Date]:[Sunset Time (POA&lt;20 W/m2)]],4,0),"")</f>
        <v>0.78402777777777777</v>
      </c>
      <c r="K1680" s="35">
        <f>IFERROR((TA[[#This Row],[Sunset Time (POA&lt;20 W/m2)]]-TA[[#This Row],[Sunrise Time (POA&gt;20 W/m2)]])*24,"")</f>
        <v>12.599999999999998</v>
      </c>
      <c r="L1680" s="2" t="s">
        <v>312</v>
      </c>
      <c r="M1680" s="42">
        <f>IFERROR(VLOOKUP(TA[[#This Row],[Affected Equipment]],'Basic Data'!$I$2:$K$40,3,0),"")</f>
        <v>5.74712643678161E-3</v>
      </c>
      <c r="N1680">
        <v>-28</v>
      </c>
      <c r="O1680" t="s">
        <v>133</v>
      </c>
      <c r="P1680" s="22" t="s">
        <v>330</v>
      </c>
      <c r="Q1680" s="2" t="s">
        <v>323</v>
      </c>
      <c r="R1680">
        <v>27</v>
      </c>
      <c r="S1680" s="2">
        <v>42</v>
      </c>
      <c r="T1680" t="s">
        <v>297</v>
      </c>
      <c r="U1680" t="s">
        <v>300</v>
      </c>
      <c r="V1680" t="s">
        <v>301</v>
      </c>
      <c r="W1680" s="41">
        <f>IFERROR(VLOOKUP(TA[[#This Row],[Date]],Raw_Data[[Date]:[Sunset Time (POA&lt;20 W/m2)]],3,0),"")</f>
        <v>0.2590277777777778</v>
      </c>
      <c r="X1680" s="41">
        <f>IFERROR(VLOOKUP(TA[[#This Row],[Date]],Raw_Data[[Date]:[Sunset Time (POA&lt;20 W/m2)]],3,0),"")</f>
        <v>0.2590277777777778</v>
      </c>
      <c r="Y1680" s="34"/>
      <c r="Z1680" s="34">
        <v>0.76041666666666663</v>
      </c>
      <c r="AA1680" s="35">
        <f>IF(TA[[#This Row],[Work Start time on Fault]]="NA","",(TA[[#This Row],[Fault Acknowledgement Time ]]-TA[[#This Row],[Fault Time]])*24)</f>
        <v>0</v>
      </c>
      <c r="AB1680" s="35">
        <f>(TA[[#This Row],[Work Start time on Fault]]-TA[[#This Row],[Fault Time]])*24</f>
        <v>-6.2166666666666668</v>
      </c>
      <c r="AC1680" s="34">
        <f>(TA[[#This Row],[Work Completion time on fault]]-TA[[#This Row],[Fault Time]])*24</f>
        <v>12.033333333333333</v>
      </c>
      <c r="AD1680" s="35">
        <f>IFERROR((TA[[#This Row],[Work Completion time on fault]]-TA[[#This Row],[Fault Time]])*24,"")</f>
        <v>12.033333333333333</v>
      </c>
      <c r="AE1680" t="s">
        <v>309</v>
      </c>
      <c r="AF1680" t="s">
        <v>256</v>
      </c>
      <c r="AG1680" s="2"/>
      <c r="AH1680" s="44">
        <f>1-COS(RADIANS(TA[[#This Row],[Avg. Target Angle during Fault Time (Radians)]]-TA[[#This Row],[Angle of affected equipment ]]))</f>
        <v>0.11705240714107301</v>
      </c>
      <c r="AI1680" s="35">
        <f>IFERROR(TA[[#This Row],[Breakdown Time]]*TA[[#This Row],[Plant Equivalent Weightage]],"")</f>
        <v>6.9157088122605376E-2</v>
      </c>
    </row>
    <row r="1681" spans="1:35">
      <c r="A1681" s="2">
        <f t="shared" si="209"/>
        <v>1678</v>
      </c>
      <c r="B1681" s="156">
        <f t="shared" ref="B1681:B1693" si="212">YEAR(H1681)+IF(MONTH(H1681)&gt;=4,1,0)</f>
        <v>2026</v>
      </c>
      <c r="C1681" s="129">
        <f t="shared" ref="C1681:C1693" si="213">YEAR(H1681)</f>
        <v>2025</v>
      </c>
      <c r="D1681" s="2" t="s">
        <v>155</v>
      </c>
      <c r="E1681" s="2" t="s">
        <v>155</v>
      </c>
      <c r="F1681" s="39">
        <v>45839</v>
      </c>
      <c r="G1681" s="2">
        <f>DAY(EOMONTH(TA[[#This Row],[Month Year]],0))</f>
        <v>31</v>
      </c>
      <c r="H1681" s="21">
        <v>45866</v>
      </c>
      <c r="I1681" s="41">
        <f>IFERROR(VLOOKUP(TA[[#This Row],[Date]],Raw_Data[[Date]:[Sunset Time (POA&lt;20 W/m2)]],3,0),"")</f>
        <v>0.25624999999999998</v>
      </c>
      <c r="J1681" s="41">
        <f>IFERROR(VLOOKUP(TA[[#This Row],[Date]],Raw_Data[[Date]:[Sunset Time (POA&lt;20 W/m2)]],4,0),"")</f>
        <v>0.76944444444444449</v>
      </c>
      <c r="K1681" s="35">
        <f>IFERROR((TA[[#This Row],[Sunset Time (POA&lt;20 W/m2)]]-TA[[#This Row],[Sunrise Time (POA&gt;20 W/m2)]])*24,"")</f>
        <v>12.316666666666668</v>
      </c>
      <c r="L1681" s="2" t="s">
        <v>294</v>
      </c>
      <c r="M1681" s="42">
        <f>IFERROR(VLOOKUP(TA[[#This Row],[Affected Equipment]],'Basic Data'!$I$2:$K$40,3,0),"")</f>
        <v>1.7241379310344799E-3</v>
      </c>
      <c r="N1681">
        <v>-28</v>
      </c>
      <c r="O1681" t="s">
        <v>135</v>
      </c>
      <c r="P1681" s="127" t="s">
        <v>318</v>
      </c>
      <c r="Q1681" s="126" t="s">
        <v>318</v>
      </c>
      <c r="R1681">
        <v>131</v>
      </c>
      <c r="S1681" s="2">
        <v>38</v>
      </c>
      <c r="T1681" t="s">
        <v>295</v>
      </c>
      <c r="U1681" t="s">
        <v>300</v>
      </c>
      <c r="V1681" t="s">
        <v>298</v>
      </c>
      <c r="W1681" s="41"/>
      <c r="X1681" s="41"/>
      <c r="Y1681" s="34"/>
      <c r="Z1681" s="34"/>
      <c r="AA1681" s="35">
        <f>IF(TA[[#This Row],[Work Start time on Fault]]="NA","",(TA[[#This Row],[Fault Acknowledgement Time ]]-TA[[#This Row],[Fault Time]])*24)</f>
        <v>0</v>
      </c>
      <c r="AB1681" s="35">
        <f>(TA[[#This Row],[Work Start time on Fault]]-TA[[#This Row],[Fault Time]])*24</f>
        <v>0</v>
      </c>
      <c r="AC1681" s="34">
        <f>(TA[[#This Row],[Work Completion time on fault]]-TA[[#This Row],[Fault Time]])*24</f>
        <v>0</v>
      </c>
      <c r="AD1681" s="35">
        <f>IFERROR((TA[[#This Row],[Work Completion time on fault]]-TA[[#This Row],[Fault Time]])*24,"")</f>
        <v>0</v>
      </c>
      <c r="AE1681" t="s">
        <v>328</v>
      </c>
      <c r="AF1681" t="s">
        <v>256</v>
      </c>
      <c r="AG1681" s="2"/>
      <c r="AH1681" s="44">
        <f>1-COS(RADIANS(TA[[#This Row],[Avg. Target Angle during Fault Time (Radians)]]-TA[[#This Row],[Angle of affected equipment ]]))</f>
        <v>0.11705240714107301</v>
      </c>
      <c r="AI1681" s="35">
        <f>IFERROR(TA[[#This Row],[Breakdown Time]]*TA[[#This Row],[Plant Equivalent Weightage]],"")</f>
        <v>0</v>
      </c>
    </row>
    <row r="1682" spans="1:35">
      <c r="A1682" s="2">
        <f t="shared" si="209"/>
        <v>1679</v>
      </c>
      <c r="B1682" s="156">
        <f t="shared" si="212"/>
        <v>2026</v>
      </c>
      <c r="C1682" s="129">
        <f t="shared" si="213"/>
        <v>2025</v>
      </c>
      <c r="D1682" s="2" t="s">
        <v>155</v>
      </c>
      <c r="E1682" s="2" t="s">
        <v>155</v>
      </c>
      <c r="F1682" s="39">
        <v>45839</v>
      </c>
      <c r="G1682" s="2">
        <f>DAY(EOMONTH(TA[[#This Row],[Month Year]],0))</f>
        <v>31</v>
      </c>
      <c r="H1682" s="21">
        <v>45866</v>
      </c>
      <c r="I1682" s="41">
        <f>IFERROR(VLOOKUP(TA[[#This Row],[Date]],Raw_Data[[Date]:[Sunset Time (POA&lt;20 W/m2)]],3,0),"")</f>
        <v>0.25624999999999998</v>
      </c>
      <c r="J1682" s="41">
        <f>IFERROR(VLOOKUP(TA[[#This Row],[Date]],Raw_Data[[Date]:[Sunset Time (POA&lt;20 W/m2)]],4,0),"")</f>
        <v>0.76944444444444449</v>
      </c>
      <c r="K1682" s="35">
        <f>IFERROR((TA[[#This Row],[Sunset Time (POA&lt;20 W/m2)]]-TA[[#This Row],[Sunrise Time (POA&gt;20 W/m2)]])*24,"")</f>
        <v>12.316666666666668</v>
      </c>
      <c r="L1682" s="2" t="s">
        <v>294</v>
      </c>
      <c r="M1682" s="42">
        <f>IFERROR(VLOOKUP(TA[[#This Row],[Affected Equipment]],'Basic Data'!$I$2:$K$40,3,0),"")</f>
        <v>1.7241379310344799E-3</v>
      </c>
      <c r="N1682">
        <v>-28</v>
      </c>
      <c r="O1682" t="s">
        <v>135</v>
      </c>
      <c r="P1682" s="127" t="s">
        <v>318</v>
      </c>
      <c r="Q1682" s="126" t="s">
        <v>318</v>
      </c>
      <c r="R1682">
        <v>131</v>
      </c>
      <c r="S1682" s="2">
        <v>39</v>
      </c>
      <c r="T1682" t="s">
        <v>295</v>
      </c>
      <c r="U1682" t="s">
        <v>300</v>
      </c>
      <c r="V1682" t="s">
        <v>298</v>
      </c>
      <c r="W1682" s="41"/>
      <c r="X1682" s="41"/>
      <c r="Y1682" s="34"/>
      <c r="Z1682" s="34"/>
      <c r="AA1682" s="35">
        <f>IF(TA[[#This Row],[Work Start time on Fault]]="NA","",(TA[[#This Row],[Fault Acknowledgement Time ]]-TA[[#This Row],[Fault Time]])*24)</f>
        <v>0</v>
      </c>
      <c r="AB1682" s="35">
        <f>(TA[[#This Row],[Work Start time on Fault]]-TA[[#This Row],[Fault Time]])*24</f>
        <v>0</v>
      </c>
      <c r="AC1682" s="34">
        <f>(TA[[#This Row],[Work Completion time on fault]]-TA[[#This Row],[Fault Time]])*24</f>
        <v>0</v>
      </c>
      <c r="AD1682" s="35">
        <f>IFERROR((TA[[#This Row],[Work Completion time on fault]]-TA[[#This Row],[Fault Time]])*24,"")</f>
        <v>0</v>
      </c>
      <c r="AE1682" t="s">
        <v>328</v>
      </c>
      <c r="AF1682" t="s">
        <v>256</v>
      </c>
      <c r="AG1682" s="2"/>
      <c r="AH1682" s="44">
        <f>1-COS(RADIANS(TA[[#This Row],[Avg. Target Angle during Fault Time (Radians)]]-TA[[#This Row],[Angle of affected equipment ]]))</f>
        <v>0.11705240714107301</v>
      </c>
      <c r="AI1682" s="35">
        <f>IFERROR(TA[[#This Row],[Breakdown Time]]*TA[[#This Row],[Plant Equivalent Weightage]],"")</f>
        <v>0</v>
      </c>
    </row>
    <row r="1683" spans="1:35">
      <c r="A1683" s="2">
        <f t="shared" si="209"/>
        <v>1680</v>
      </c>
      <c r="B1683" s="156">
        <f t="shared" si="212"/>
        <v>2026</v>
      </c>
      <c r="C1683" s="129">
        <f t="shared" si="213"/>
        <v>2025</v>
      </c>
      <c r="D1683" s="2" t="s">
        <v>155</v>
      </c>
      <c r="E1683" s="2" t="s">
        <v>155</v>
      </c>
      <c r="F1683" s="39">
        <v>45839</v>
      </c>
      <c r="G1683" s="2">
        <f>DAY(EOMONTH(TA[[#This Row],[Month Year]],0))</f>
        <v>31</v>
      </c>
      <c r="H1683" s="21">
        <v>45866</v>
      </c>
      <c r="I1683" s="41">
        <f>IFERROR(VLOOKUP(TA[[#This Row],[Date]],Raw_Data[[Date]:[Sunset Time (POA&lt;20 W/m2)]],3,0),"")</f>
        <v>0.25624999999999998</v>
      </c>
      <c r="J1683" s="41">
        <f>IFERROR(VLOOKUP(TA[[#This Row],[Date]],Raw_Data[[Date]:[Sunset Time (POA&lt;20 W/m2)]],4,0),"")</f>
        <v>0.76944444444444449</v>
      </c>
      <c r="K1683" s="35">
        <f>IFERROR((TA[[#This Row],[Sunset Time (POA&lt;20 W/m2)]]-TA[[#This Row],[Sunrise Time (POA&gt;20 W/m2)]])*24,"")</f>
        <v>12.316666666666668</v>
      </c>
      <c r="L1683" s="2" t="s">
        <v>296</v>
      </c>
      <c r="M1683" s="42">
        <f>IFERROR(VLOOKUP(TA[[#This Row],[Affected Equipment]],'Basic Data'!$I$2:$K$40,3,0),"")</f>
        <v>8.6206896551724102E-3</v>
      </c>
      <c r="N1683">
        <v>-28</v>
      </c>
      <c r="O1683" t="s">
        <v>135</v>
      </c>
      <c r="P1683" s="127" t="s">
        <v>318</v>
      </c>
      <c r="Q1683" s="2" t="s">
        <v>321</v>
      </c>
      <c r="R1683">
        <v>133</v>
      </c>
      <c r="S1683" s="2">
        <v>26</v>
      </c>
      <c r="T1683" t="s">
        <v>297</v>
      </c>
      <c r="U1683" t="s">
        <v>300</v>
      </c>
      <c r="V1683" t="s">
        <v>314</v>
      </c>
      <c r="W1683" s="41">
        <f>IFERROR(VLOOKUP(TA[[#This Row],[Date]],Raw_Data[[Date]:[Sunset Time (POA&lt;20 W/m2)]],3,0),"")</f>
        <v>0.25624999999999998</v>
      </c>
      <c r="X1683" s="41">
        <f>IFERROR(VLOOKUP(TA[[#This Row],[Date]],Raw_Data[[Date]:[Sunset Time (POA&lt;20 W/m2)]],3,0),"")</f>
        <v>0.25624999999999998</v>
      </c>
      <c r="Y1683" s="34"/>
      <c r="Z1683" s="34">
        <v>0.76041666666666663</v>
      </c>
      <c r="AA1683" s="35">
        <f>IF(TA[[#This Row],[Work Start time on Fault]]="NA","",(TA[[#This Row],[Fault Acknowledgement Time ]]-TA[[#This Row],[Fault Time]])*24)</f>
        <v>0</v>
      </c>
      <c r="AB1683" s="35">
        <f>(TA[[#This Row],[Work Start time on Fault]]-TA[[#This Row],[Fault Time]])*24</f>
        <v>-6.1499999999999995</v>
      </c>
      <c r="AC1683" s="34">
        <f>(TA[[#This Row],[Work Completion time on fault]]-TA[[#This Row],[Fault Time]])*24</f>
        <v>12.1</v>
      </c>
      <c r="AD1683" s="35">
        <f>IFERROR((TA[[#This Row],[Work Completion time on fault]]-TA[[#This Row],[Fault Time]])*24,"")</f>
        <v>12.1</v>
      </c>
      <c r="AE1683" t="s">
        <v>328</v>
      </c>
      <c r="AF1683" t="s">
        <v>256</v>
      </c>
      <c r="AG1683" s="2"/>
      <c r="AH1683" s="44">
        <f>1-COS(RADIANS(TA[[#This Row],[Avg. Target Angle during Fault Time (Radians)]]-TA[[#This Row],[Angle of affected equipment ]]))</f>
        <v>0.11705240714107301</v>
      </c>
      <c r="AI1683" s="35">
        <f>IFERROR(TA[[#This Row],[Breakdown Time]]*TA[[#This Row],[Plant Equivalent Weightage]],"")</f>
        <v>0.10431034482758617</v>
      </c>
    </row>
    <row r="1684" spans="1:35">
      <c r="A1684" s="2">
        <f t="shared" si="209"/>
        <v>1681</v>
      </c>
      <c r="B1684" s="156">
        <f t="shared" si="212"/>
        <v>2026</v>
      </c>
      <c r="C1684" s="129">
        <f t="shared" si="213"/>
        <v>2025</v>
      </c>
      <c r="D1684" s="2" t="s">
        <v>155</v>
      </c>
      <c r="E1684" s="2" t="s">
        <v>155</v>
      </c>
      <c r="F1684" s="39">
        <v>45839</v>
      </c>
      <c r="G1684" s="2">
        <f>DAY(EOMONTH(TA[[#This Row],[Month Year]],0))</f>
        <v>31</v>
      </c>
      <c r="H1684" s="21">
        <v>45866</v>
      </c>
      <c r="I1684" s="41">
        <f>IFERROR(VLOOKUP(TA[[#This Row],[Date]],Raw_Data[[Date]:[Sunset Time (POA&lt;20 W/m2)]],3,0),"")</f>
        <v>0.25624999999999998</v>
      </c>
      <c r="J1684" s="41">
        <f>IFERROR(VLOOKUP(TA[[#This Row],[Date]],Raw_Data[[Date]:[Sunset Time (POA&lt;20 W/m2)]],4,0),"")</f>
        <v>0.76944444444444449</v>
      </c>
      <c r="K1684" s="35">
        <f>IFERROR((TA[[#This Row],[Sunset Time (POA&lt;20 W/m2)]]-TA[[#This Row],[Sunrise Time (POA&gt;20 W/m2)]])*24,"")</f>
        <v>12.316666666666668</v>
      </c>
      <c r="L1684" s="2" t="s">
        <v>294</v>
      </c>
      <c r="M1684" s="42">
        <f>IFERROR(VLOOKUP(TA[[#This Row],[Affected Equipment]],'Basic Data'!$I$2:$K$40,3,0),"")</f>
        <v>1.7241379310344799E-3</v>
      </c>
      <c r="N1684">
        <v>-28</v>
      </c>
      <c r="O1684" t="s">
        <v>133</v>
      </c>
      <c r="P1684" s="127" t="s">
        <v>316</v>
      </c>
      <c r="Q1684" s="126" t="s">
        <v>317</v>
      </c>
      <c r="R1684">
        <v>7</v>
      </c>
      <c r="S1684" s="2">
        <v>32</v>
      </c>
      <c r="T1684" t="s">
        <v>295</v>
      </c>
      <c r="U1684" t="s">
        <v>300</v>
      </c>
      <c r="V1684" t="s">
        <v>298</v>
      </c>
      <c r="W1684" s="41"/>
      <c r="X1684" s="41"/>
      <c r="Y1684" s="34"/>
      <c r="Z1684" s="34"/>
      <c r="AA1684" s="35">
        <f>IF(TA[[#This Row],[Work Start time on Fault]]="NA","",(TA[[#This Row],[Fault Acknowledgement Time ]]-TA[[#This Row],[Fault Time]])*24)</f>
        <v>0</v>
      </c>
      <c r="AB1684" s="35">
        <f>(TA[[#This Row],[Work Start time on Fault]]-TA[[#This Row],[Fault Time]])*24</f>
        <v>0</v>
      </c>
      <c r="AC1684" s="34">
        <f>(TA[[#This Row],[Work Completion time on fault]]-TA[[#This Row],[Fault Time]])*24</f>
        <v>0</v>
      </c>
      <c r="AD1684" s="35">
        <f>IFERROR((TA[[#This Row],[Work Completion time on fault]]-TA[[#This Row],[Fault Time]])*24,"")</f>
        <v>0</v>
      </c>
      <c r="AE1684" t="s">
        <v>328</v>
      </c>
      <c r="AF1684" t="s">
        <v>256</v>
      </c>
      <c r="AG1684" s="2"/>
      <c r="AH1684" s="44">
        <f>1-COS(RADIANS(TA[[#This Row],[Avg. Target Angle during Fault Time (Radians)]]-TA[[#This Row],[Angle of affected equipment ]]))</f>
        <v>0.11705240714107301</v>
      </c>
      <c r="AI1684" s="35">
        <f>IFERROR(TA[[#This Row],[Breakdown Time]]*TA[[#This Row],[Plant Equivalent Weightage]],"")</f>
        <v>0</v>
      </c>
    </row>
    <row r="1685" spans="1:35">
      <c r="A1685" s="2">
        <f t="shared" si="209"/>
        <v>1682</v>
      </c>
      <c r="B1685" s="156">
        <f t="shared" si="212"/>
        <v>2026</v>
      </c>
      <c r="C1685" s="129">
        <f t="shared" si="213"/>
        <v>2025</v>
      </c>
      <c r="D1685" s="2" t="s">
        <v>155</v>
      </c>
      <c r="E1685" s="2" t="s">
        <v>155</v>
      </c>
      <c r="F1685" s="39">
        <v>45839</v>
      </c>
      <c r="G1685" s="2">
        <f>DAY(EOMONTH(TA[[#This Row],[Month Year]],0))</f>
        <v>31</v>
      </c>
      <c r="H1685" s="21">
        <v>45866</v>
      </c>
      <c r="I1685" s="41">
        <f>IFERROR(VLOOKUP(TA[[#This Row],[Date]],Raw_Data[[Date]:[Sunset Time (POA&lt;20 W/m2)]],3,0),"")</f>
        <v>0.25624999999999998</v>
      </c>
      <c r="J1685" s="41">
        <f>IFERROR(VLOOKUP(TA[[#This Row],[Date]],Raw_Data[[Date]:[Sunset Time (POA&lt;20 W/m2)]],4,0),"")</f>
        <v>0.76944444444444449</v>
      </c>
      <c r="K1685" s="35">
        <f>IFERROR((TA[[#This Row],[Sunset Time (POA&lt;20 W/m2)]]-TA[[#This Row],[Sunrise Time (POA&gt;20 W/m2)]])*24,"")</f>
        <v>12.316666666666668</v>
      </c>
      <c r="L1685" s="2" t="s">
        <v>294</v>
      </c>
      <c r="M1685" s="42">
        <f>IFERROR(VLOOKUP(TA[[#This Row],[Affected Equipment]],'Basic Data'!$I$2:$K$40,3,0),"")</f>
        <v>1.7241379310344799E-3</v>
      </c>
      <c r="N1685">
        <v>-28</v>
      </c>
      <c r="O1685" t="s">
        <v>137</v>
      </c>
      <c r="P1685" s="127" t="s">
        <v>315</v>
      </c>
      <c r="Q1685" s="126" t="s">
        <v>319</v>
      </c>
      <c r="R1685">
        <v>166</v>
      </c>
      <c r="S1685" s="2">
        <v>91</v>
      </c>
      <c r="T1685" t="s">
        <v>295</v>
      </c>
      <c r="U1685" t="s">
        <v>300</v>
      </c>
      <c r="V1685" t="s">
        <v>298</v>
      </c>
      <c r="W1685" s="41"/>
      <c r="X1685" s="41"/>
      <c r="Y1685" s="34"/>
      <c r="Z1685" s="34"/>
      <c r="AA1685" s="35">
        <f>IF(TA[[#This Row],[Work Start time on Fault]]="NA","",(TA[[#This Row],[Fault Acknowledgement Time ]]-TA[[#This Row],[Fault Time]])*24)</f>
        <v>0</v>
      </c>
      <c r="AB1685" s="35">
        <f>(TA[[#This Row],[Work Start time on Fault]]-TA[[#This Row],[Fault Time]])*24</f>
        <v>0</v>
      </c>
      <c r="AC1685" s="34">
        <f>(TA[[#This Row],[Work Completion time on fault]]-TA[[#This Row],[Fault Time]])*24</f>
        <v>0</v>
      </c>
      <c r="AD1685" s="35">
        <f>IFERROR((TA[[#This Row],[Work Completion time on fault]]-TA[[#This Row],[Fault Time]])*24,"")</f>
        <v>0</v>
      </c>
      <c r="AE1685" t="s">
        <v>328</v>
      </c>
      <c r="AF1685" t="s">
        <v>256</v>
      </c>
      <c r="AG1685" s="2"/>
      <c r="AH1685" s="44">
        <f>1-COS(RADIANS(TA[[#This Row],[Avg. Target Angle during Fault Time (Radians)]]-TA[[#This Row],[Angle of affected equipment ]]))</f>
        <v>0.11705240714107301</v>
      </c>
      <c r="AI1685" s="35">
        <f>IFERROR(TA[[#This Row],[Breakdown Time]]*TA[[#This Row],[Plant Equivalent Weightage]],"")</f>
        <v>0</v>
      </c>
    </row>
    <row r="1686" spans="1:35">
      <c r="A1686" s="2">
        <f t="shared" si="209"/>
        <v>1683</v>
      </c>
      <c r="B1686" s="156">
        <f t="shared" si="212"/>
        <v>2026</v>
      </c>
      <c r="C1686" s="129">
        <f t="shared" si="213"/>
        <v>2025</v>
      </c>
      <c r="D1686" s="2" t="s">
        <v>155</v>
      </c>
      <c r="E1686" s="2" t="s">
        <v>155</v>
      </c>
      <c r="F1686" s="39">
        <v>45839</v>
      </c>
      <c r="G1686" s="2">
        <f>DAY(EOMONTH(TA[[#This Row],[Month Year]],0))</f>
        <v>31</v>
      </c>
      <c r="H1686" s="21">
        <v>45866</v>
      </c>
      <c r="I1686" s="41">
        <f>IFERROR(VLOOKUP(TA[[#This Row],[Date]],Raw_Data[[Date]:[Sunset Time (POA&lt;20 W/m2)]],3,0),"")</f>
        <v>0.25624999999999998</v>
      </c>
      <c r="J1686" s="41">
        <f>IFERROR(VLOOKUP(TA[[#This Row],[Date]],Raw_Data[[Date]:[Sunset Time (POA&lt;20 W/m2)]],4,0),"")</f>
        <v>0.76944444444444449</v>
      </c>
      <c r="K1686" s="35">
        <f>IFERROR((TA[[#This Row],[Sunset Time (POA&lt;20 W/m2)]]-TA[[#This Row],[Sunrise Time (POA&gt;20 W/m2)]])*24,"")</f>
        <v>12.316666666666668</v>
      </c>
      <c r="L1686" s="2" t="s">
        <v>294</v>
      </c>
      <c r="M1686" s="42">
        <f>IFERROR(VLOOKUP(TA[[#This Row],[Affected Equipment]],'Basic Data'!$I$2:$K$40,3,0),"")</f>
        <v>1.7241379310344799E-3</v>
      </c>
      <c r="N1686">
        <v>-28</v>
      </c>
      <c r="O1686" t="s">
        <v>133</v>
      </c>
      <c r="P1686" s="127" t="s">
        <v>316</v>
      </c>
      <c r="Q1686" s="126" t="s">
        <v>316</v>
      </c>
      <c r="R1686">
        <v>117</v>
      </c>
      <c r="S1686" s="2">
        <v>20</v>
      </c>
      <c r="T1686" t="s">
        <v>295</v>
      </c>
      <c r="U1686" t="s">
        <v>300</v>
      </c>
      <c r="V1686" t="s">
        <v>298</v>
      </c>
      <c r="W1686" s="41"/>
      <c r="X1686" s="41"/>
      <c r="Y1686" s="34"/>
      <c r="Z1686" s="34"/>
      <c r="AA1686" s="35">
        <f>IF(TA[[#This Row],[Work Start time on Fault]]="NA","",(TA[[#This Row],[Fault Acknowledgement Time ]]-TA[[#This Row],[Fault Time]])*24)</f>
        <v>0</v>
      </c>
      <c r="AB1686" s="35">
        <f>(TA[[#This Row],[Work Start time on Fault]]-TA[[#This Row],[Fault Time]])*24</f>
        <v>0</v>
      </c>
      <c r="AC1686" s="34">
        <f>(TA[[#This Row],[Work Completion time on fault]]-TA[[#This Row],[Fault Time]])*24</f>
        <v>0</v>
      </c>
      <c r="AD1686" s="35">
        <f>IFERROR((TA[[#This Row],[Work Completion time on fault]]-TA[[#This Row],[Fault Time]])*24,"")</f>
        <v>0</v>
      </c>
      <c r="AE1686" t="s">
        <v>328</v>
      </c>
      <c r="AF1686" t="s">
        <v>256</v>
      </c>
      <c r="AG1686" s="2"/>
      <c r="AH1686" s="44">
        <f>1-COS(RADIANS(TA[[#This Row],[Avg. Target Angle during Fault Time (Radians)]]-TA[[#This Row],[Angle of affected equipment ]]))</f>
        <v>0.11705240714107301</v>
      </c>
      <c r="AI1686" s="35">
        <f>IFERROR(TA[[#This Row],[Breakdown Time]]*TA[[#This Row],[Plant Equivalent Weightage]],"")</f>
        <v>0</v>
      </c>
    </row>
    <row r="1687" spans="1:35">
      <c r="A1687" s="2">
        <f t="shared" si="209"/>
        <v>1684</v>
      </c>
      <c r="B1687" s="156">
        <f t="shared" si="212"/>
        <v>2026</v>
      </c>
      <c r="C1687" s="129">
        <f t="shared" si="213"/>
        <v>2025</v>
      </c>
      <c r="D1687" s="2" t="s">
        <v>155</v>
      </c>
      <c r="E1687" s="2" t="s">
        <v>155</v>
      </c>
      <c r="F1687" s="39">
        <v>45839</v>
      </c>
      <c r="G1687" s="2">
        <f>DAY(EOMONTH(TA[[#This Row],[Month Year]],0))</f>
        <v>31</v>
      </c>
      <c r="H1687" s="21">
        <v>45866</v>
      </c>
      <c r="I1687" s="41">
        <f>IFERROR(VLOOKUP(TA[[#This Row],[Date]],Raw_Data[[Date]:[Sunset Time (POA&lt;20 W/m2)]],3,0),"")</f>
        <v>0.25624999999999998</v>
      </c>
      <c r="J1687" s="41">
        <f>IFERROR(VLOOKUP(TA[[#This Row],[Date]],Raw_Data[[Date]:[Sunset Time (POA&lt;20 W/m2)]],4,0),"")</f>
        <v>0.76944444444444449</v>
      </c>
      <c r="K1687" s="35">
        <f>IFERROR((TA[[#This Row],[Sunset Time (POA&lt;20 W/m2)]]-TA[[#This Row],[Sunrise Time (POA&gt;20 W/m2)]])*24,"")</f>
        <v>12.316666666666668</v>
      </c>
      <c r="L1687" s="2" t="s">
        <v>294</v>
      </c>
      <c r="M1687" s="42">
        <f>IFERROR(VLOOKUP(TA[[#This Row],[Affected Equipment]],'Basic Data'!$I$2:$K$40,3,0),"")</f>
        <v>1.7241379310344799E-3</v>
      </c>
      <c r="N1687">
        <v>-28</v>
      </c>
      <c r="O1687" t="s">
        <v>133</v>
      </c>
      <c r="P1687" s="127" t="s">
        <v>316</v>
      </c>
      <c r="Q1687" s="126" t="s">
        <v>316</v>
      </c>
      <c r="R1687">
        <v>118</v>
      </c>
      <c r="S1687" s="2">
        <v>22</v>
      </c>
      <c r="T1687" t="s">
        <v>295</v>
      </c>
      <c r="U1687" t="s">
        <v>300</v>
      </c>
      <c r="V1687" t="s">
        <v>298</v>
      </c>
      <c r="W1687" s="41"/>
      <c r="X1687" s="41"/>
      <c r="Y1687" s="34"/>
      <c r="Z1687" s="34"/>
      <c r="AA1687" s="35">
        <f>IF(TA[[#This Row],[Work Start time on Fault]]="NA","",(TA[[#This Row],[Fault Acknowledgement Time ]]-TA[[#This Row],[Fault Time]])*24)</f>
        <v>0</v>
      </c>
      <c r="AB1687" s="35">
        <f>(TA[[#This Row],[Work Start time on Fault]]-TA[[#This Row],[Fault Time]])*24</f>
        <v>0</v>
      </c>
      <c r="AC1687" s="34">
        <f>(TA[[#This Row],[Work Completion time on fault]]-TA[[#This Row],[Fault Time]])*24</f>
        <v>0</v>
      </c>
      <c r="AD1687" s="35">
        <f>IFERROR((TA[[#This Row],[Work Completion time on fault]]-TA[[#This Row],[Fault Time]])*24,"")</f>
        <v>0</v>
      </c>
      <c r="AE1687" t="s">
        <v>328</v>
      </c>
      <c r="AF1687" t="s">
        <v>256</v>
      </c>
      <c r="AG1687" s="2"/>
      <c r="AH1687" s="44">
        <f>1-COS(RADIANS(TA[[#This Row],[Avg. Target Angle during Fault Time (Radians)]]-TA[[#This Row],[Angle of affected equipment ]]))</f>
        <v>0.11705240714107301</v>
      </c>
      <c r="AI1687" s="35">
        <f>IFERROR(TA[[#This Row],[Breakdown Time]]*TA[[#This Row],[Plant Equivalent Weightage]],"")</f>
        <v>0</v>
      </c>
    </row>
    <row r="1688" spans="1:35">
      <c r="A1688" s="2">
        <f t="shared" si="209"/>
        <v>1685</v>
      </c>
      <c r="B1688" s="156">
        <f t="shared" si="212"/>
        <v>2026</v>
      </c>
      <c r="C1688" s="129">
        <f t="shared" si="213"/>
        <v>2025</v>
      </c>
      <c r="D1688" s="2" t="s">
        <v>155</v>
      </c>
      <c r="E1688" s="2" t="s">
        <v>155</v>
      </c>
      <c r="F1688" s="39">
        <v>45839</v>
      </c>
      <c r="G1688" s="2">
        <f>DAY(EOMONTH(TA[[#This Row],[Month Year]],0))</f>
        <v>31</v>
      </c>
      <c r="H1688" s="21">
        <v>45866</v>
      </c>
      <c r="I1688" s="41">
        <f>IFERROR(VLOOKUP(TA[[#This Row],[Date]],Raw_Data[[Date]:[Sunset Time (POA&lt;20 W/m2)]],3,0),"")</f>
        <v>0.25624999999999998</v>
      </c>
      <c r="J1688" s="41">
        <f>IFERROR(VLOOKUP(TA[[#This Row],[Date]],Raw_Data[[Date]:[Sunset Time (POA&lt;20 W/m2)]],4,0),"")</f>
        <v>0.76944444444444449</v>
      </c>
      <c r="K1688" s="35">
        <f>IFERROR((TA[[#This Row],[Sunset Time (POA&lt;20 W/m2)]]-TA[[#This Row],[Sunrise Time (POA&gt;20 W/m2)]])*24,"")</f>
        <v>12.316666666666668</v>
      </c>
      <c r="L1688" s="2" t="s">
        <v>296</v>
      </c>
      <c r="M1688" s="42">
        <f>IFERROR(VLOOKUP(TA[[#This Row],[Affected Equipment]],'Basic Data'!$I$2:$K$40,3,0),"")</f>
        <v>8.6206896551724102E-3</v>
      </c>
      <c r="N1688">
        <v>-28</v>
      </c>
      <c r="O1688" t="s">
        <v>135</v>
      </c>
      <c r="P1688" s="22" t="s">
        <v>323</v>
      </c>
      <c r="Q1688" s="2" t="s">
        <v>329</v>
      </c>
      <c r="R1688">
        <v>45</v>
      </c>
      <c r="S1688" s="2">
        <v>8</v>
      </c>
      <c r="T1688" t="s">
        <v>297</v>
      </c>
      <c r="U1688" t="s">
        <v>300</v>
      </c>
      <c r="V1688" t="s">
        <v>301</v>
      </c>
      <c r="W1688" s="41"/>
      <c r="X1688" s="41"/>
      <c r="Y1688" s="34"/>
      <c r="Z1688" s="34"/>
      <c r="AA1688" s="35">
        <f>IF(TA[[#This Row],[Work Start time on Fault]]="NA","",(TA[[#This Row],[Fault Acknowledgement Time ]]-TA[[#This Row],[Fault Time]])*24)</f>
        <v>0</v>
      </c>
      <c r="AB1688" s="35">
        <f>(TA[[#This Row],[Work Start time on Fault]]-TA[[#This Row],[Fault Time]])*24</f>
        <v>0</v>
      </c>
      <c r="AC1688" s="34">
        <f>(TA[[#This Row],[Work Completion time on fault]]-TA[[#This Row],[Fault Time]])*24</f>
        <v>0</v>
      </c>
      <c r="AD1688" s="35">
        <f>IFERROR((TA[[#This Row],[Work Completion time on fault]]-TA[[#This Row],[Fault Time]])*24,"")</f>
        <v>0</v>
      </c>
      <c r="AE1688" t="s">
        <v>328</v>
      </c>
      <c r="AF1688" t="s">
        <v>256</v>
      </c>
      <c r="AG1688" s="2"/>
      <c r="AH1688" s="44">
        <f>1-COS(RADIANS(TA[[#This Row],[Avg. Target Angle during Fault Time (Radians)]]-TA[[#This Row],[Angle of affected equipment ]]))</f>
        <v>0.11705240714107301</v>
      </c>
      <c r="AI1688" s="35">
        <f>IFERROR(TA[[#This Row],[Breakdown Time]]*TA[[#This Row],[Plant Equivalent Weightage]],"")</f>
        <v>0</v>
      </c>
    </row>
    <row r="1689" spans="1:35">
      <c r="A1689" s="2">
        <f t="shared" si="209"/>
        <v>1686</v>
      </c>
      <c r="B1689" s="156">
        <f t="shared" si="212"/>
        <v>2026</v>
      </c>
      <c r="C1689" s="129">
        <f t="shared" si="213"/>
        <v>2025</v>
      </c>
      <c r="D1689" s="2" t="s">
        <v>155</v>
      </c>
      <c r="E1689" s="2" t="s">
        <v>155</v>
      </c>
      <c r="F1689" s="39">
        <v>45839</v>
      </c>
      <c r="G1689" s="2">
        <f>DAY(EOMONTH(TA[[#This Row],[Month Year]],0))</f>
        <v>31</v>
      </c>
      <c r="H1689" s="21">
        <v>45866</v>
      </c>
      <c r="I1689" s="41">
        <f>IFERROR(VLOOKUP(TA[[#This Row],[Date]],Raw_Data[[Date]:[Sunset Time (POA&lt;20 W/m2)]],3,0),"")</f>
        <v>0.25624999999999998</v>
      </c>
      <c r="J1689" s="41">
        <f>IFERROR(VLOOKUP(TA[[#This Row],[Date]],Raw_Data[[Date]:[Sunset Time (POA&lt;20 W/m2)]],4,0),"")</f>
        <v>0.76944444444444449</v>
      </c>
      <c r="K1689" s="35">
        <f>IFERROR((TA[[#This Row],[Sunset Time (POA&lt;20 W/m2)]]-TA[[#This Row],[Sunrise Time (POA&gt;20 W/m2)]])*24,"")</f>
        <v>12.316666666666668</v>
      </c>
      <c r="L1689" s="2" t="s">
        <v>296</v>
      </c>
      <c r="M1689" s="42">
        <f>IFERROR(VLOOKUP(TA[[#This Row],[Affected Equipment]],'Basic Data'!$I$2:$K$40,3,0),"")</f>
        <v>8.6206896551724102E-3</v>
      </c>
      <c r="N1689">
        <v>-28</v>
      </c>
      <c r="O1689" t="s">
        <v>135</v>
      </c>
      <c r="P1689" s="22" t="s">
        <v>323</v>
      </c>
      <c r="Q1689" s="2" t="s">
        <v>329</v>
      </c>
      <c r="R1689">
        <v>47</v>
      </c>
      <c r="S1689" s="2">
        <v>18</v>
      </c>
      <c r="T1689" t="s">
        <v>297</v>
      </c>
      <c r="U1689" t="s">
        <v>300</v>
      </c>
      <c r="V1689" t="s">
        <v>301</v>
      </c>
      <c r="W1689" s="41"/>
      <c r="X1689" s="41"/>
      <c r="Y1689" s="34"/>
      <c r="Z1689" s="34"/>
      <c r="AA1689" s="35">
        <f>IF(TA[[#This Row],[Work Start time on Fault]]="NA","",(TA[[#This Row],[Fault Acknowledgement Time ]]-TA[[#This Row],[Fault Time]])*24)</f>
        <v>0</v>
      </c>
      <c r="AB1689" s="35">
        <f>(TA[[#This Row],[Work Start time on Fault]]-TA[[#This Row],[Fault Time]])*24</f>
        <v>0</v>
      </c>
      <c r="AC1689" s="34">
        <f>(TA[[#This Row],[Work Completion time on fault]]-TA[[#This Row],[Fault Time]])*24</f>
        <v>0</v>
      </c>
      <c r="AD1689" s="35">
        <f>IFERROR((TA[[#This Row],[Work Completion time on fault]]-TA[[#This Row],[Fault Time]])*24,"")</f>
        <v>0</v>
      </c>
      <c r="AE1689" t="s">
        <v>328</v>
      </c>
      <c r="AF1689" t="s">
        <v>256</v>
      </c>
      <c r="AG1689" s="2"/>
      <c r="AH1689" s="44">
        <f>1-COS(RADIANS(TA[[#This Row],[Avg. Target Angle during Fault Time (Radians)]]-TA[[#This Row],[Angle of affected equipment ]]))</f>
        <v>0.11705240714107301</v>
      </c>
      <c r="AI1689" s="35">
        <f>IFERROR(TA[[#This Row],[Breakdown Time]]*TA[[#This Row],[Plant Equivalent Weightage]],"")</f>
        <v>0</v>
      </c>
    </row>
    <row r="1690" spans="1:35">
      <c r="A1690" s="2">
        <f t="shared" si="209"/>
        <v>1687</v>
      </c>
      <c r="B1690" s="156">
        <f t="shared" si="212"/>
        <v>2026</v>
      </c>
      <c r="C1690" s="129">
        <f t="shared" si="213"/>
        <v>2025</v>
      </c>
      <c r="D1690" s="2" t="s">
        <v>155</v>
      </c>
      <c r="E1690" s="2" t="s">
        <v>155</v>
      </c>
      <c r="F1690" s="39">
        <v>45839</v>
      </c>
      <c r="G1690" s="2">
        <f>DAY(EOMONTH(TA[[#This Row],[Month Year]],0))</f>
        <v>31</v>
      </c>
      <c r="H1690" s="21">
        <v>45866</v>
      </c>
      <c r="I1690" s="41">
        <f>IFERROR(VLOOKUP(TA[[#This Row],[Date]],Raw_Data[[Date]:[Sunset Time (POA&lt;20 W/m2)]],3,0),"")</f>
        <v>0.25624999999999998</v>
      </c>
      <c r="J1690" s="41">
        <f>IFERROR(VLOOKUP(TA[[#This Row],[Date]],Raw_Data[[Date]:[Sunset Time (POA&lt;20 W/m2)]],4,0),"")</f>
        <v>0.76944444444444449</v>
      </c>
      <c r="K1690" s="35">
        <f>IFERROR((TA[[#This Row],[Sunset Time (POA&lt;20 W/m2)]]-TA[[#This Row],[Sunrise Time (POA&gt;20 W/m2)]])*24,"")</f>
        <v>12.316666666666668</v>
      </c>
      <c r="L1690" s="2" t="s">
        <v>296</v>
      </c>
      <c r="M1690" s="42">
        <f>IFERROR(VLOOKUP(TA[[#This Row],[Affected Equipment]],'Basic Data'!$I$2:$K$40,3,0),"")</f>
        <v>8.6206896551724102E-3</v>
      </c>
      <c r="N1690">
        <v>-28</v>
      </c>
      <c r="O1690" t="s">
        <v>134</v>
      </c>
      <c r="P1690" s="22" t="s">
        <v>330</v>
      </c>
      <c r="Q1690" s="2" t="s">
        <v>323</v>
      </c>
      <c r="R1690">
        <v>30</v>
      </c>
      <c r="S1690" s="2">
        <v>57</v>
      </c>
      <c r="T1690" t="s">
        <v>297</v>
      </c>
      <c r="U1690" t="s">
        <v>300</v>
      </c>
      <c r="V1690" t="s">
        <v>301</v>
      </c>
      <c r="W1690" s="41"/>
      <c r="X1690" s="41"/>
      <c r="Y1690" s="34"/>
      <c r="Z1690" s="34"/>
      <c r="AA1690" s="35">
        <f>IF(TA[[#This Row],[Work Start time on Fault]]="NA","",(TA[[#This Row],[Fault Acknowledgement Time ]]-TA[[#This Row],[Fault Time]])*24)</f>
        <v>0</v>
      </c>
      <c r="AB1690" s="35">
        <f>(TA[[#This Row],[Work Start time on Fault]]-TA[[#This Row],[Fault Time]])*24</f>
        <v>0</v>
      </c>
      <c r="AC1690" s="34">
        <f>(TA[[#This Row],[Work Completion time on fault]]-TA[[#This Row],[Fault Time]])*24</f>
        <v>0</v>
      </c>
      <c r="AD1690" s="35">
        <f>IFERROR((TA[[#This Row],[Work Completion time on fault]]-TA[[#This Row],[Fault Time]])*24,"")</f>
        <v>0</v>
      </c>
      <c r="AE1690" t="s">
        <v>328</v>
      </c>
      <c r="AF1690" t="s">
        <v>256</v>
      </c>
      <c r="AG1690" s="2"/>
      <c r="AH1690" s="44">
        <f>1-COS(RADIANS(TA[[#This Row],[Avg. Target Angle during Fault Time (Radians)]]-TA[[#This Row],[Angle of affected equipment ]]))</f>
        <v>0.11705240714107301</v>
      </c>
      <c r="AI1690" s="35">
        <f>IFERROR(TA[[#This Row],[Breakdown Time]]*TA[[#This Row],[Plant Equivalent Weightage]],"")</f>
        <v>0</v>
      </c>
    </row>
    <row r="1691" spans="1:35">
      <c r="A1691" s="2">
        <f t="shared" si="209"/>
        <v>1688</v>
      </c>
      <c r="B1691" s="156">
        <f t="shared" si="212"/>
        <v>2026</v>
      </c>
      <c r="C1691" s="129">
        <f t="shared" si="213"/>
        <v>2025</v>
      </c>
      <c r="D1691" s="2" t="s">
        <v>155</v>
      </c>
      <c r="E1691" s="2" t="s">
        <v>155</v>
      </c>
      <c r="F1691" s="39">
        <v>45839</v>
      </c>
      <c r="G1691" s="2">
        <f>DAY(EOMONTH(TA[[#This Row],[Month Year]],0))</f>
        <v>31</v>
      </c>
      <c r="H1691" s="21">
        <v>45866</v>
      </c>
      <c r="I1691" s="41">
        <f>IFERROR(VLOOKUP(TA[[#This Row],[Date]],Raw_Data[[Date]:[Sunset Time (POA&lt;20 W/m2)]],3,0),"")</f>
        <v>0.25624999999999998</v>
      </c>
      <c r="J1691" s="41">
        <f>IFERROR(VLOOKUP(TA[[#This Row],[Date]],Raw_Data[[Date]:[Sunset Time (POA&lt;20 W/m2)]],4,0),"")</f>
        <v>0.76944444444444449</v>
      </c>
      <c r="K1691" s="35">
        <f>IFERROR((TA[[#This Row],[Sunset Time (POA&lt;20 W/m2)]]-TA[[#This Row],[Sunrise Time (POA&gt;20 W/m2)]])*24,"")</f>
        <v>12.316666666666668</v>
      </c>
      <c r="L1691" s="2" t="s">
        <v>296</v>
      </c>
      <c r="M1691" s="42">
        <f>IFERROR(VLOOKUP(TA[[#This Row],[Affected Equipment]],'Basic Data'!$I$2:$K$40,3,0),"")</f>
        <v>8.6206896551724102E-3</v>
      </c>
      <c r="N1691">
        <v>-28</v>
      </c>
      <c r="O1691" t="s">
        <v>134</v>
      </c>
      <c r="P1691" s="22" t="s">
        <v>330</v>
      </c>
      <c r="Q1691" s="2" t="s">
        <v>323</v>
      </c>
      <c r="R1691">
        <v>31</v>
      </c>
      <c r="S1691" s="2">
        <v>61</v>
      </c>
      <c r="T1691" t="s">
        <v>297</v>
      </c>
      <c r="U1691" t="s">
        <v>300</v>
      </c>
      <c r="V1691" t="s">
        <v>301</v>
      </c>
      <c r="W1691" s="41"/>
      <c r="X1691" s="41"/>
      <c r="Y1691" s="34"/>
      <c r="Z1691" s="34"/>
      <c r="AA1691" s="35">
        <f>IF(TA[[#This Row],[Work Start time on Fault]]="NA","",(TA[[#This Row],[Fault Acknowledgement Time ]]-TA[[#This Row],[Fault Time]])*24)</f>
        <v>0</v>
      </c>
      <c r="AB1691" s="35">
        <f>(TA[[#This Row],[Work Start time on Fault]]-TA[[#This Row],[Fault Time]])*24</f>
        <v>0</v>
      </c>
      <c r="AC1691" s="34">
        <f>(TA[[#This Row],[Work Completion time on fault]]-TA[[#This Row],[Fault Time]])*24</f>
        <v>0</v>
      </c>
      <c r="AD1691" s="35">
        <f>IFERROR((TA[[#This Row],[Work Completion time on fault]]-TA[[#This Row],[Fault Time]])*24,"")</f>
        <v>0</v>
      </c>
      <c r="AE1691" t="s">
        <v>328</v>
      </c>
      <c r="AF1691" t="s">
        <v>256</v>
      </c>
      <c r="AG1691" s="2"/>
      <c r="AH1691" s="44">
        <f>1-COS(RADIANS(TA[[#This Row],[Avg. Target Angle during Fault Time (Radians)]]-TA[[#This Row],[Angle of affected equipment ]]))</f>
        <v>0.11705240714107301</v>
      </c>
      <c r="AI1691" s="35">
        <f>IFERROR(TA[[#This Row],[Breakdown Time]]*TA[[#This Row],[Plant Equivalent Weightage]],"")</f>
        <v>0</v>
      </c>
    </row>
    <row r="1692" spans="1:35">
      <c r="A1692" s="2">
        <f t="shared" si="209"/>
        <v>1689</v>
      </c>
      <c r="B1692" s="156">
        <f t="shared" si="212"/>
        <v>2026</v>
      </c>
      <c r="C1692" s="129">
        <f t="shared" si="213"/>
        <v>2025</v>
      </c>
      <c r="D1692" s="2" t="s">
        <v>155</v>
      </c>
      <c r="E1692" s="2" t="s">
        <v>155</v>
      </c>
      <c r="F1692" s="39">
        <v>45839</v>
      </c>
      <c r="G1692" s="2">
        <f>DAY(EOMONTH(TA[[#This Row],[Month Year]],0))</f>
        <v>31</v>
      </c>
      <c r="H1692" s="21">
        <v>45866</v>
      </c>
      <c r="I1692" s="41">
        <f>IFERROR(VLOOKUP(TA[[#This Row],[Date]],Raw_Data[[Date]:[Sunset Time (POA&lt;20 W/m2)]],3,0),"")</f>
        <v>0.25624999999999998</v>
      </c>
      <c r="J1692" s="41">
        <f>IFERROR(VLOOKUP(TA[[#This Row],[Date]],Raw_Data[[Date]:[Sunset Time (POA&lt;20 W/m2)]],4,0),"")</f>
        <v>0.76944444444444449</v>
      </c>
      <c r="K1692" s="35">
        <f>IFERROR((TA[[#This Row],[Sunset Time (POA&lt;20 W/m2)]]-TA[[#This Row],[Sunrise Time (POA&gt;20 W/m2)]])*24,"")</f>
        <v>12.316666666666668</v>
      </c>
      <c r="L1692" s="2" t="s">
        <v>312</v>
      </c>
      <c r="M1692" s="42">
        <f>IFERROR(VLOOKUP(TA[[#This Row],[Affected Equipment]],'Basic Data'!$I$2:$K$40,3,0),"")</f>
        <v>5.74712643678161E-3</v>
      </c>
      <c r="N1692">
        <v>-28</v>
      </c>
      <c r="O1692" t="s">
        <v>133</v>
      </c>
      <c r="P1692" s="22" t="s">
        <v>330</v>
      </c>
      <c r="Q1692" s="2" t="s">
        <v>323</v>
      </c>
      <c r="R1692">
        <v>26</v>
      </c>
      <c r="S1692" s="2">
        <v>37</v>
      </c>
      <c r="T1692" t="s">
        <v>297</v>
      </c>
      <c r="U1692" t="s">
        <v>300</v>
      </c>
      <c r="V1692" t="s">
        <v>301</v>
      </c>
      <c r="W1692" s="41"/>
      <c r="X1692" s="41"/>
      <c r="Y1692" s="34"/>
      <c r="Z1692" s="34"/>
      <c r="AA1692" s="35">
        <f>IF(TA[[#This Row],[Work Start time on Fault]]="NA","",(TA[[#This Row],[Fault Acknowledgement Time ]]-TA[[#This Row],[Fault Time]])*24)</f>
        <v>0</v>
      </c>
      <c r="AB1692" s="35">
        <f>(TA[[#This Row],[Work Start time on Fault]]-TA[[#This Row],[Fault Time]])*24</f>
        <v>0</v>
      </c>
      <c r="AC1692" s="34">
        <f>(TA[[#This Row],[Work Completion time on fault]]-TA[[#This Row],[Fault Time]])*24</f>
        <v>0</v>
      </c>
      <c r="AD1692" s="35">
        <f>IFERROR((TA[[#This Row],[Work Completion time on fault]]-TA[[#This Row],[Fault Time]])*24,"")</f>
        <v>0</v>
      </c>
      <c r="AE1692" t="s">
        <v>328</v>
      </c>
      <c r="AF1692" t="s">
        <v>256</v>
      </c>
      <c r="AG1692" s="2"/>
      <c r="AH1692" s="44">
        <f>1-COS(RADIANS(TA[[#This Row],[Avg. Target Angle during Fault Time (Radians)]]-TA[[#This Row],[Angle of affected equipment ]]))</f>
        <v>0.11705240714107301</v>
      </c>
      <c r="AI1692" s="35">
        <f>IFERROR(TA[[#This Row],[Breakdown Time]]*TA[[#This Row],[Plant Equivalent Weightage]],"")</f>
        <v>0</v>
      </c>
    </row>
    <row r="1693" spans="1:35">
      <c r="A1693" s="2">
        <f t="shared" si="209"/>
        <v>1690</v>
      </c>
      <c r="B1693" s="156">
        <f t="shared" si="212"/>
        <v>2026</v>
      </c>
      <c r="C1693" s="129">
        <f t="shared" si="213"/>
        <v>2025</v>
      </c>
      <c r="D1693" s="2" t="s">
        <v>155</v>
      </c>
      <c r="E1693" s="2" t="s">
        <v>155</v>
      </c>
      <c r="F1693" s="39">
        <v>45839</v>
      </c>
      <c r="G1693" s="2">
        <f>DAY(EOMONTH(TA[[#This Row],[Month Year]],0))</f>
        <v>31</v>
      </c>
      <c r="H1693" s="21">
        <v>45866</v>
      </c>
      <c r="I1693" s="41">
        <f>IFERROR(VLOOKUP(TA[[#This Row],[Date]],Raw_Data[[Date]:[Sunset Time (POA&lt;20 W/m2)]],3,0),"")</f>
        <v>0.25624999999999998</v>
      </c>
      <c r="J1693" s="41">
        <f>IFERROR(VLOOKUP(TA[[#This Row],[Date]],Raw_Data[[Date]:[Sunset Time (POA&lt;20 W/m2)]],4,0),"")</f>
        <v>0.76944444444444449</v>
      </c>
      <c r="K1693" s="35">
        <f>IFERROR((TA[[#This Row],[Sunset Time (POA&lt;20 W/m2)]]-TA[[#This Row],[Sunrise Time (POA&gt;20 W/m2)]])*24,"")</f>
        <v>12.316666666666668</v>
      </c>
      <c r="L1693" s="2" t="s">
        <v>312</v>
      </c>
      <c r="M1693" s="42">
        <f>IFERROR(VLOOKUP(TA[[#This Row],[Affected Equipment]],'Basic Data'!$I$2:$K$40,3,0),"")</f>
        <v>5.74712643678161E-3</v>
      </c>
      <c r="N1693">
        <v>-28</v>
      </c>
      <c r="O1693" t="s">
        <v>133</v>
      </c>
      <c r="P1693" s="22" t="s">
        <v>330</v>
      </c>
      <c r="Q1693" s="2" t="s">
        <v>323</v>
      </c>
      <c r="R1693">
        <v>27</v>
      </c>
      <c r="S1693" s="2">
        <v>42</v>
      </c>
      <c r="T1693" t="s">
        <v>297</v>
      </c>
      <c r="U1693" t="s">
        <v>300</v>
      </c>
      <c r="V1693" t="s">
        <v>301</v>
      </c>
      <c r="W1693" s="41">
        <f>IFERROR(VLOOKUP(TA[[#This Row],[Date]],Raw_Data[[Date]:[Sunset Time (POA&lt;20 W/m2)]],3,0),"")</f>
        <v>0.25624999999999998</v>
      </c>
      <c r="X1693" s="41">
        <f>IFERROR(VLOOKUP(TA[[#This Row],[Date]],Raw_Data[[Date]:[Sunset Time (POA&lt;20 W/m2)]],3,0),"")</f>
        <v>0.25624999999999998</v>
      </c>
      <c r="Y1693" s="34"/>
      <c r="Z1693" s="34">
        <v>0.76041666666666663</v>
      </c>
      <c r="AA1693" s="35">
        <f>IF(TA[[#This Row],[Work Start time on Fault]]="NA","",(TA[[#This Row],[Fault Acknowledgement Time ]]-TA[[#This Row],[Fault Time]])*24)</f>
        <v>0</v>
      </c>
      <c r="AB1693" s="35">
        <f>(TA[[#This Row],[Work Start time on Fault]]-TA[[#This Row],[Fault Time]])*24</f>
        <v>-6.1499999999999995</v>
      </c>
      <c r="AC1693" s="34">
        <f>(TA[[#This Row],[Work Completion time on fault]]-TA[[#This Row],[Fault Time]])*24</f>
        <v>12.1</v>
      </c>
      <c r="AD1693" s="35">
        <f>IFERROR((TA[[#This Row],[Work Completion time on fault]]-TA[[#This Row],[Fault Time]])*24,"")</f>
        <v>12.1</v>
      </c>
      <c r="AE1693" t="s">
        <v>309</v>
      </c>
      <c r="AF1693" t="s">
        <v>256</v>
      </c>
      <c r="AG1693" s="2"/>
      <c r="AH1693" s="44">
        <f>1-COS(RADIANS(TA[[#This Row],[Avg. Target Angle during Fault Time (Radians)]]-TA[[#This Row],[Angle of affected equipment ]]))</f>
        <v>0.11705240714107301</v>
      </c>
      <c r="AI1693" s="35">
        <f>IFERROR(TA[[#This Row],[Breakdown Time]]*TA[[#This Row],[Plant Equivalent Weightage]],"")</f>
        <v>6.9540229885057481E-2</v>
      </c>
    </row>
    <row r="1694" spans="1:35">
      <c r="A1694" s="2">
        <f t="shared" si="209"/>
        <v>1691</v>
      </c>
      <c r="B1694" s="156">
        <f t="shared" ref="B1694:B1706" si="214">YEAR(H1694)+IF(MONTH(H1694)&gt;=4,1,0)</f>
        <v>2026</v>
      </c>
      <c r="C1694" s="129">
        <f t="shared" ref="C1694:C1706" si="215">YEAR(H1694)</f>
        <v>2025</v>
      </c>
      <c r="D1694" s="2" t="s">
        <v>155</v>
      </c>
      <c r="E1694" s="2" t="s">
        <v>155</v>
      </c>
      <c r="F1694" s="39">
        <v>45839</v>
      </c>
      <c r="G1694" s="2">
        <f>DAY(EOMONTH(TA[[#This Row],[Month Year]],0))</f>
        <v>31</v>
      </c>
      <c r="H1694" s="21">
        <v>45867</v>
      </c>
      <c r="I1694" s="41">
        <f>IFERROR(VLOOKUP(TA[[#This Row],[Date]],Raw_Data[[Date]:[Sunset Time (POA&lt;20 W/m2)]],3,0),"")</f>
        <v>0.25555555555555554</v>
      </c>
      <c r="J1694" s="41">
        <f>IFERROR(VLOOKUP(TA[[#This Row],[Date]],Raw_Data[[Date]:[Sunset Time (POA&lt;20 W/m2)]],4,0),"")</f>
        <v>0.76458333333333328</v>
      </c>
      <c r="K1694" s="35">
        <f>IFERROR((TA[[#This Row],[Sunset Time (POA&lt;20 W/m2)]]-TA[[#This Row],[Sunrise Time (POA&gt;20 W/m2)]])*24,"")</f>
        <v>12.216666666666665</v>
      </c>
      <c r="L1694" s="2" t="s">
        <v>294</v>
      </c>
      <c r="M1694" s="42">
        <f>IFERROR(VLOOKUP(TA[[#This Row],[Affected Equipment]],'Basic Data'!$I$2:$K$40,3,0),"")</f>
        <v>1.7241379310344799E-3</v>
      </c>
      <c r="N1694">
        <v>-28</v>
      </c>
      <c r="O1694" t="s">
        <v>135</v>
      </c>
      <c r="P1694" s="127" t="s">
        <v>318</v>
      </c>
      <c r="Q1694" s="126" t="s">
        <v>318</v>
      </c>
      <c r="R1694">
        <v>131</v>
      </c>
      <c r="S1694" s="2">
        <v>38</v>
      </c>
      <c r="T1694" t="s">
        <v>295</v>
      </c>
      <c r="U1694" t="s">
        <v>300</v>
      </c>
      <c r="V1694" t="s">
        <v>298</v>
      </c>
      <c r="W1694" s="41"/>
      <c r="X1694" s="41"/>
      <c r="Y1694" s="34"/>
      <c r="Z1694" s="34"/>
      <c r="AA1694" s="35">
        <f>IF(TA[[#This Row],[Work Start time on Fault]]="NA","",(TA[[#This Row],[Fault Acknowledgement Time ]]-TA[[#This Row],[Fault Time]])*24)</f>
        <v>0</v>
      </c>
      <c r="AB1694" s="35">
        <f>(TA[[#This Row],[Work Start time on Fault]]-TA[[#This Row],[Fault Time]])*24</f>
        <v>0</v>
      </c>
      <c r="AC1694" s="34">
        <f>(TA[[#This Row],[Work Completion time on fault]]-TA[[#This Row],[Fault Time]])*24</f>
        <v>0</v>
      </c>
      <c r="AD1694" s="35">
        <f>IFERROR((TA[[#This Row],[Work Completion time on fault]]-TA[[#This Row],[Fault Time]])*24,"")</f>
        <v>0</v>
      </c>
      <c r="AE1694" t="s">
        <v>328</v>
      </c>
      <c r="AF1694" t="s">
        <v>256</v>
      </c>
      <c r="AG1694" s="2"/>
      <c r="AH1694" s="44">
        <f>1-COS(RADIANS(TA[[#This Row],[Avg. Target Angle during Fault Time (Radians)]]-TA[[#This Row],[Angle of affected equipment ]]))</f>
        <v>0.11705240714107301</v>
      </c>
      <c r="AI1694" s="35">
        <f>IFERROR(TA[[#This Row],[Breakdown Time]]*TA[[#This Row],[Plant Equivalent Weightage]],"")</f>
        <v>0</v>
      </c>
    </row>
    <row r="1695" spans="1:35">
      <c r="A1695" s="2">
        <f t="shared" si="209"/>
        <v>1692</v>
      </c>
      <c r="B1695" s="156">
        <f t="shared" si="214"/>
        <v>2026</v>
      </c>
      <c r="C1695" s="129">
        <f t="shared" si="215"/>
        <v>2025</v>
      </c>
      <c r="D1695" s="2" t="s">
        <v>155</v>
      </c>
      <c r="E1695" s="2" t="s">
        <v>155</v>
      </c>
      <c r="F1695" s="39">
        <v>45839</v>
      </c>
      <c r="G1695" s="2">
        <f>DAY(EOMONTH(TA[[#This Row],[Month Year]],0))</f>
        <v>31</v>
      </c>
      <c r="H1695" s="21">
        <v>45867</v>
      </c>
      <c r="I1695" s="41">
        <f>IFERROR(VLOOKUP(TA[[#This Row],[Date]],Raw_Data[[Date]:[Sunset Time (POA&lt;20 W/m2)]],3,0),"")</f>
        <v>0.25555555555555554</v>
      </c>
      <c r="J1695" s="41">
        <f>IFERROR(VLOOKUP(TA[[#This Row],[Date]],Raw_Data[[Date]:[Sunset Time (POA&lt;20 W/m2)]],4,0),"")</f>
        <v>0.76458333333333328</v>
      </c>
      <c r="K1695" s="35">
        <f>IFERROR((TA[[#This Row],[Sunset Time (POA&lt;20 W/m2)]]-TA[[#This Row],[Sunrise Time (POA&gt;20 W/m2)]])*24,"")</f>
        <v>12.216666666666665</v>
      </c>
      <c r="L1695" s="2" t="s">
        <v>294</v>
      </c>
      <c r="M1695" s="42">
        <f>IFERROR(VLOOKUP(TA[[#This Row],[Affected Equipment]],'Basic Data'!$I$2:$K$40,3,0),"")</f>
        <v>1.7241379310344799E-3</v>
      </c>
      <c r="N1695">
        <v>-28</v>
      </c>
      <c r="O1695" t="s">
        <v>135</v>
      </c>
      <c r="P1695" s="127" t="s">
        <v>318</v>
      </c>
      <c r="Q1695" s="126" t="s">
        <v>318</v>
      </c>
      <c r="R1695">
        <v>131</v>
      </c>
      <c r="S1695" s="2">
        <v>39</v>
      </c>
      <c r="T1695" t="s">
        <v>295</v>
      </c>
      <c r="U1695" t="s">
        <v>300</v>
      </c>
      <c r="V1695" t="s">
        <v>298</v>
      </c>
      <c r="W1695" s="41"/>
      <c r="X1695" s="41"/>
      <c r="Y1695" s="34"/>
      <c r="Z1695" s="34"/>
      <c r="AA1695" s="35">
        <f>IF(TA[[#This Row],[Work Start time on Fault]]="NA","",(TA[[#This Row],[Fault Acknowledgement Time ]]-TA[[#This Row],[Fault Time]])*24)</f>
        <v>0</v>
      </c>
      <c r="AB1695" s="35">
        <f>(TA[[#This Row],[Work Start time on Fault]]-TA[[#This Row],[Fault Time]])*24</f>
        <v>0</v>
      </c>
      <c r="AC1695" s="34">
        <f>(TA[[#This Row],[Work Completion time on fault]]-TA[[#This Row],[Fault Time]])*24</f>
        <v>0</v>
      </c>
      <c r="AD1695" s="35">
        <f>IFERROR((TA[[#This Row],[Work Completion time on fault]]-TA[[#This Row],[Fault Time]])*24,"")</f>
        <v>0</v>
      </c>
      <c r="AE1695" t="s">
        <v>328</v>
      </c>
      <c r="AF1695" t="s">
        <v>256</v>
      </c>
      <c r="AG1695" s="2"/>
      <c r="AH1695" s="44">
        <f>1-COS(RADIANS(TA[[#This Row],[Avg. Target Angle during Fault Time (Radians)]]-TA[[#This Row],[Angle of affected equipment ]]))</f>
        <v>0.11705240714107301</v>
      </c>
      <c r="AI1695" s="35">
        <f>IFERROR(TA[[#This Row],[Breakdown Time]]*TA[[#This Row],[Plant Equivalent Weightage]],"")</f>
        <v>0</v>
      </c>
    </row>
    <row r="1696" spans="1:35">
      <c r="A1696" s="2">
        <f t="shared" si="209"/>
        <v>1693</v>
      </c>
      <c r="B1696" s="156">
        <f t="shared" si="214"/>
        <v>2026</v>
      </c>
      <c r="C1696" s="129">
        <f t="shared" si="215"/>
        <v>2025</v>
      </c>
      <c r="D1696" s="2" t="s">
        <v>155</v>
      </c>
      <c r="E1696" s="2" t="s">
        <v>155</v>
      </c>
      <c r="F1696" s="39">
        <v>45839</v>
      </c>
      <c r="G1696" s="2">
        <f>DAY(EOMONTH(TA[[#This Row],[Month Year]],0))</f>
        <v>31</v>
      </c>
      <c r="H1696" s="21">
        <v>45867</v>
      </c>
      <c r="I1696" s="41">
        <f>IFERROR(VLOOKUP(TA[[#This Row],[Date]],Raw_Data[[Date]:[Sunset Time (POA&lt;20 W/m2)]],3,0),"")</f>
        <v>0.25555555555555554</v>
      </c>
      <c r="J1696" s="41">
        <f>IFERROR(VLOOKUP(TA[[#This Row],[Date]],Raw_Data[[Date]:[Sunset Time (POA&lt;20 W/m2)]],4,0),"")</f>
        <v>0.76458333333333328</v>
      </c>
      <c r="K1696" s="35">
        <f>IFERROR((TA[[#This Row],[Sunset Time (POA&lt;20 W/m2)]]-TA[[#This Row],[Sunrise Time (POA&gt;20 W/m2)]])*24,"")</f>
        <v>12.216666666666665</v>
      </c>
      <c r="L1696" s="2" t="s">
        <v>296</v>
      </c>
      <c r="M1696" s="42">
        <f>IFERROR(VLOOKUP(TA[[#This Row],[Affected Equipment]],'Basic Data'!$I$2:$K$40,3,0),"")</f>
        <v>8.6206896551724102E-3</v>
      </c>
      <c r="N1696">
        <v>-28</v>
      </c>
      <c r="O1696" t="s">
        <v>135</v>
      </c>
      <c r="P1696" s="127" t="s">
        <v>318</v>
      </c>
      <c r="Q1696" s="2" t="s">
        <v>321</v>
      </c>
      <c r="R1696">
        <v>133</v>
      </c>
      <c r="S1696" s="2">
        <v>26</v>
      </c>
      <c r="T1696" t="s">
        <v>297</v>
      </c>
      <c r="U1696" t="s">
        <v>300</v>
      </c>
      <c r="V1696" t="s">
        <v>314</v>
      </c>
      <c r="W1696" s="41">
        <f>IFERROR(VLOOKUP(TA[[#This Row],[Date]],Raw_Data[[Date]:[Sunset Time (POA&lt;20 W/m2)]],3,0),"")</f>
        <v>0.25555555555555554</v>
      </c>
      <c r="X1696" s="41">
        <f>IFERROR(VLOOKUP(TA[[#This Row],[Date]],Raw_Data[[Date]:[Sunset Time (POA&lt;20 W/m2)]],3,0),"")</f>
        <v>0.25555555555555554</v>
      </c>
      <c r="Y1696" s="34"/>
      <c r="Z1696" s="34">
        <v>0.76041666666666663</v>
      </c>
      <c r="AA1696" s="35">
        <f>IF(TA[[#This Row],[Work Start time on Fault]]="NA","",(TA[[#This Row],[Fault Acknowledgement Time ]]-TA[[#This Row],[Fault Time]])*24)</f>
        <v>0</v>
      </c>
      <c r="AB1696" s="35">
        <f>(TA[[#This Row],[Work Start time on Fault]]-TA[[#This Row],[Fault Time]])*24</f>
        <v>-6.1333333333333329</v>
      </c>
      <c r="AC1696" s="34">
        <f>(TA[[#This Row],[Work Completion time on fault]]-TA[[#This Row],[Fault Time]])*24</f>
        <v>12.116666666666667</v>
      </c>
      <c r="AD1696" s="35">
        <f>IFERROR((TA[[#This Row],[Work Completion time on fault]]-TA[[#This Row],[Fault Time]])*24,"")</f>
        <v>12.116666666666667</v>
      </c>
      <c r="AE1696" t="s">
        <v>328</v>
      </c>
      <c r="AF1696" t="s">
        <v>256</v>
      </c>
      <c r="AG1696" s="2"/>
      <c r="AH1696" s="44">
        <f>1-COS(RADIANS(TA[[#This Row],[Avg. Target Angle during Fault Time (Radians)]]-TA[[#This Row],[Angle of affected equipment ]]))</f>
        <v>0.11705240714107301</v>
      </c>
      <c r="AI1696" s="35">
        <f>IFERROR(TA[[#This Row],[Breakdown Time]]*TA[[#This Row],[Plant Equivalent Weightage]],"")</f>
        <v>0.1044540229885057</v>
      </c>
    </row>
    <row r="1697" spans="1:35">
      <c r="A1697" s="2">
        <f t="shared" si="209"/>
        <v>1694</v>
      </c>
      <c r="B1697" s="156">
        <f t="shared" si="214"/>
        <v>2026</v>
      </c>
      <c r="C1697" s="129">
        <f t="shared" si="215"/>
        <v>2025</v>
      </c>
      <c r="D1697" s="2" t="s">
        <v>155</v>
      </c>
      <c r="E1697" s="2" t="s">
        <v>155</v>
      </c>
      <c r="F1697" s="39">
        <v>45839</v>
      </c>
      <c r="G1697" s="2">
        <f>DAY(EOMONTH(TA[[#This Row],[Month Year]],0))</f>
        <v>31</v>
      </c>
      <c r="H1697" s="21">
        <v>45867</v>
      </c>
      <c r="I1697" s="41">
        <f>IFERROR(VLOOKUP(TA[[#This Row],[Date]],Raw_Data[[Date]:[Sunset Time (POA&lt;20 W/m2)]],3,0),"")</f>
        <v>0.25555555555555554</v>
      </c>
      <c r="J1697" s="41">
        <f>IFERROR(VLOOKUP(TA[[#This Row],[Date]],Raw_Data[[Date]:[Sunset Time (POA&lt;20 W/m2)]],4,0),"")</f>
        <v>0.76458333333333328</v>
      </c>
      <c r="K1697" s="35">
        <f>IFERROR((TA[[#This Row],[Sunset Time (POA&lt;20 W/m2)]]-TA[[#This Row],[Sunrise Time (POA&gt;20 W/m2)]])*24,"")</f>
        <v>12.216666666666665</v>
      </c>
      <c r="L1697" s="2" t="s">
        <v>294</v>
      </c>
      <c r="M1697" s="42">
        <f>IFERROR(VLOOKUP(TA[[#This Row],[Affected Equipment]],'Basic Data'!$I$2:$K$40,3,0),"")</f>
        <v>1.7241379310344799E-3</v>
      </c>
      <c r="N1697">
        <v>-28</v>
      </c>
      <c r="O1697" t="s">
        <v>133</v>
      </c>
      <c r="P1697" s="127" t="s">
        <v>316</v>
      </c>
      <c r="Q1697" s="126" t="s">
        <v>317</v>
      </c>
      <c r="R1697">
        <v>7</v>
      </c>
      <c r="S1697" s="2">
        <v>32</v>
      </c>
      <c r="T1697" t="s">
        <v>295</v>
      </c>
      <c r="U1697" t="s">
        <v>300</v>
      </c>
      <c r="V1697" t="s">
        <v>298</v>
      </c>
      <c r="W1697" s="41"/>
      <c r="X1697" s="41"/>
      <c r="Y1697" s="34"/>
      <c r="Z1697" s="34"/>
      <c r="AA1697" s="35">
        <f>IF(TA[[#This Row],[Work Start time on Fault]]="NA","",(TA[[#This Row],[Fault Acknowledgement Time ]]-TA[[#This Row],[Fault Time]])*24)</f>
        <v>0</v>
      </c>
      <c r="AB1697" s="35">
        <f>(TA[[#This Row],[Work Start time on Fault]]-TA[[#This Row],[Fault Time]])*24</f>
        <v>0</v>
      </c>
      <c r="AC1697" s="34">
        <f>(TA[[#This Row],[Work Completion time on fault]]-TA[[#This Row],[Fault Time]])*24</f>
        <v>0</v>
      </c>
      <c r="AD1697" s="35">
        <f>IFERROR((TA[[#This Row],[Work Completion time on fault]]-TA[[#This Row],[Fault Time]])*24,"")</f>
        <v>0</v>
      </c>
      <c r="AE1697" t="s">
        <v>328</v>
      </c>
      <c r="AF1697" t="s">
        <v>256</v>
      </c>
      <c r="AG1697" s="2"/>
      <c r="AH1697" s="44">
        <f>1-COS(RADIANS(TA[[#This Row],[Avg. Target Angle during Fault Time (Radians)]]-TA[[#This Row],[Angle of affected equipment ]]))</f>
        <v>0.11705240714107301</v>
      </c>
      <c r="AI1697" s="35">
        <f>IFERROR(TA[[#This Row],[Breakdown Time]]*TA[[#This Row],[Plant Equivalent Weightage]],"")</f>
        <v>0</v>
      </c>
    </row>
    <row r="1698" spans="1:35">
      <c r="A1698" s="2">
        <f t="shared" si="209"/>
        <v>1695</v>
      </c>
      <c r="B1698" s="156">
        <f t="shared" si="214"/>
        <v>2026</v>
      </c>
      <c r="C1698" s="129">
        <f t="shared" si="215"/>
        <v>2025</v>
      </c>
      <c r="D1698" s="2" t="s">
        <v>155</v>
      </c>
      <c r="E1698" s="2" t="s">
        <v>155</v>
      </c>
      <c r="F1698" s="39">
        <v>45839</v>
      </c>
      <c r="G1698" s="2">
        <f>DAY(EOMONTH(TA[[#This Row],[Month Year]],0))</f>
        <v>31</v>
      </c>
      <c r="H1698" s="21">
        <v>45867</v>
      </c>
      <c r="I1698" s="41">
        <f>IFERROR(VLOOKUP(TA[[#This Row],[Date]],Raw_Data[[Date]:[Sunset Time (POA&lt;20 W/m2)]],3,0),"")</f>
        <v>0.25555555555555554</v>
      </c>
      <c r="J1698" s="41">
        <f>IFERROR(VLOOKUP(TA[[#This Row],[Date]],Raw_Data[[Date]:[Sunset Time (POA&lt;20 W/m2)]],4,0),"")</f>
        <v>0.76458333333333328</v>
      </c>
      <c r="K1698" s="35">
        <f>IFERROR((TA[[#This Row],[Sunset Time (POA&lt;20 W/m2)]]-TA[[#This Row],[Sunrise Time (POA&gt;20 W/m2)]])*24,"")</f>
        <v>12.216666666666665</v>
      </c>
      <c r="L1698" s="2" t="s">
        <v>294</v>
      </c>
      <c r="M1698" s="42">
        <f>IFERROR(VLOOKUP(TA[[#This Row],[Affected Equipment]],'Basic Data'!$I$2:$K$40,3,0),"")</f>
        <v>1.7241379310344799E-3</v>
      </c>
      <c r="N1698">
        <v>-28</v>
      </c>
      <c r="O1698" t="s">
        <v>137</v>
      </c>
      <c r="P1698" s="127" t="s">
        <v>315</v>
      </c>
      <c r="Q1698" s="126" t="s">
        <v>319</v>
      </c>
      <c r="R1698">
        <v>166</v>
      </c>
      <c r="S1698" s="2">
        <v>91</v>
      </c>
      <c r="T1698" t="s">
        <v>295</v>
      </c>
      <c r="U1698" t="s">
        <v>300</v>
      </c>
      <c r="V1698" t="s">
        <v>298</v>
      </c>
      <c r="W1698" s="41"/>
      <c r="X1698" s="41"/>
      <c r="Y1698" s="34"/>
      <c r="Z1698" s="34"/>
      <c r="AA1698" s="35">
        <f>IF(TA[[#This Row],[Work Start time on Fault]]="NA","",(TA[[#This Row],[Fault Acknowledgement Time ]]-TA[[#This Row],[Fault Time]])*24)</f>
        <v>0</v>
      </c>
      <c r="AB1698" s="35">
        <f>(TA[[#This Row],[Work Start time on Fault]]-TA[[#This Row],[Fault Time]])*24</f>
        <v>0</v>
      </c>
      <c r="AC1698" s="34">
        <f>(TA[[#This Row],[Work Completion time on fault]]-TA[[#This Row],[Fault Time]])*24</f>
        <v>0</v>
      </c>
      <c r="AD1698" s="35">
        <f>IFERROR((TA[[#This Row],[Work Completion time on fault]]-TA[[#This Row],[Fault Time]])*24,"")</f>
        <v>0</v>
      </c>
      <c r="AE1698" t="s">
        <v>328</v>
      </c>
      <c r="AF1698" t="s">
        <v>256</v>
      </c>
      <c r="AG1698" s="2"/>
      <c r="AH1698" s="44">
        <f>1-COS(RADIANS(TA[[#This Row],[Avg. Target Angle during Fault Time (Radians)]]-TA[[#This Row],[Angle of affected equipment ]]))</f>
        <v>0.11705240714107301</v>
      </c>
      <c r="AI1698" s="35">
        <f>IFERROR(TA[[#This Row],[Breakdown Time]]*TA[[#This Row],[Plant Equivalent Weightage]],"")</f>
        <v>0</v>
      </c>
    </row>
    <row r="1699" spans="1:35">
      <c r="A1699" s="2">
        <f t="shared" si="209"/>
        <v>1696</v>
      </c>
      <c r="B1699" s="156">
        <f t="shared" si="214"/>
        <v>2026</v>
      </c>
      <c r="C1699" s="129">
        <f t="shared" si="215"/>
        <v>2025</v>
      </c>
      <c r="D1699" s="2" t="s">
        <v>155</v>
      </c>
      <c r="E1699" s="2" t="s">
        <v>155</v>
      </c>
      <c r="F1699" s="39">
        <v>45839</v>
      </c>
      <c r="G1699" s="2">
        <f>DAY(EOMONTH(TA[[#This Row],[Month Year]],0))</f>
        <v>31</v>
      </c>
      <c r="H1699" s="21">
        <v>45867</v>
      </c>
      <c r="I1699" s="41">
        <f>IFERROR(VLOOKUP(TA[[#This Row],[Date]],Raw_Data[[Date]:[Sunset Time (POA&lt;20 W/m2)]],3,0),"")</f>
        <v>0.25555555555555554</v>
      </c>
      <c r="J1699" s="41">
        <f>IFERROR(VLOOKUP(TA[[#This Row],[Date]],Raw_Data[[Date]:[Sunset Time (POA&lt;20 W/m2)]],4,0),"")</f>
        <v>0.76458333333333328</v>
      </c>
      <c r="K1699" s="35">
        <f>IFERROR((TA[[#This Row],[Sunset Time (POA&lt;20 W/m2)]]-TA[[#This Row],[Sunrise Time (POA&gt;20 W/m2)]])*24,"")</f>
        <v>12.216666666666665</v>
      </c>
      <c r="L1699" s="2" t="s">
        <v>294</v>
      </c>
      <c r="M1699" s="42">
        <f>IFERROR(VLOOKUP(TA[[#This Row],[Affected Equipment]],'Basic Data'!$I$2:$K$40,3,0),"")</f>
        <v>1.7241379310344799E-3</v>
      </c>
      <c r="N1699">
        <v>-28</v>
      </c>
      <c r="O1699" t="s">
        <v>133</v>
      </c>
      <c r="P1699" s="127" t="s">
        <v>316</v>
      </c>
      <c r="Q1699" s="126" t="s">
        <v>316</v>
      </c>
      <c r="R1699">
        <v>117</v>
      </c>
      <c r="S1699" s="2">
        <v>20</v>
      </c>
      <c r="T1699" t="s">
        <v>295</v>
      </c>
      <c r="U1699" t="s">
        <v>300</v>
      </c>
      <c r="V1699" t="s">
        <v>298</v>
      </c>
      <c r="W1699" s="41"/>
      <c r="X1699" s="41"/>
      <c r="Y1699" s="34"/>
      <c r="Z1699" s="34"/>
      <c r="AA1699" s="35">
        <f>IF(TA[[#This Row],[Work Start time on Fault]]="NA","",(TA[[#This Row],[Fault Acknowledgement Time ]]-TA[[#This Row],[Fault Time]])*24)</f>
        <v>0</v>
      </c>
      <c r="AB1699" s="35">
        <f>(TA[[#This Row],[Work Start time on Fault]]-TA[[#This Row],[Fault Time]])*24</f>
        <v>0</v>
      </c>
      <c r="AC1699" s="34">
        <f>(TA[[#This Row],[Work Completion time on fault]]-TA[[#This Row],[Fault Time]])*24</f>
        <v>0</v>
      </c>
      <c r="AD1699" s="35">
        <f>IFERROR((TA[[#This Row],[Work Completion time on fault]]-TA[[#This Row],[Fault Time]])*24,"")</f>
        <v>0</v>
      </c>
      <c r="AE1699" t="s">
        <v>328</v>
      </c>
      <c r="AF1699" t="s">
        <v>256</v>
      </c>
      <c r="AG1699" s="2"/>
      <c r="AH1699" s="44">
        <f>1-COS(RADIANS(TA[[#This Row],[Avg. Target Angle during Fault Time (Radians)]]-TA[[#This Row],[Angle of affected equipment ]]))</f>
        <v>0.11705240714107301</v>
      </c>
      <c r="AI1699" s="35">
        <f>IFERROR(TA[[#This Row],[Breakdown Time]]*TA[[#This Row],[Plant Equivalent Weightage]],"")</f>
        <v>0</v>
      </c>
    </row>
    <row r="1700" spans="1:35">
      <c r="A1700" s="2">
        <f t="shared" si="209"/>
        <v>1697</v>
      </c>
      <c r="B1700" s="156">
        <f t="shared" si="214"/>
        <v>2026</v>
      </c>
      <c r="C1700" s="129">
        <f t="shared" si="215"/>
        <v>2025</v>
      </c>
      <c r="D1700" s="2" t="s">
        <v>155</v>
      </c>
      <c r="E1700" s="2" t="s">
        <v>155</v>
      </c>
      <c r="F1700" s="39">
        <v>45839</v>
      </c>
      <c r="G1700" s="2">
        <f>DAY(EOMONTH(TA[[#This Row],[Month Year]],0))</f>
        <v>31</v>
      </c>
      <c r="H1700" s="21">
        <v>45867</v>
      </c>
      <c r="I1700" s="41">
        <f>IFERROR(VLOOKUP(TA[[#This Row],[Date]],Raw_Data[[Date]:[Sunset Time (POA&lt;20 W/m2)]],3,0),"")</f>
        <v>0.25555555555555554</v>
      </c>
      <c r="J1700" s="41">
        <f>IFERROR(VLOOKUP(TA[[#This Row],[Date]],Raw_Data[[Date]:[Sunset Time (POA&lt;20 W/m2)]],4,0),"")</f>
        <v>0.76458333333333328</v>
      </c>
      <c r="K1700" s="35">
        <f>IFERROR((TA[[#This Row],[Sunset Time (POA&lt;20 W/m2)]]-TA[[#This Row],[Sunrise Time (POA&gt;20 W/m2)]])*24,"")</f>
        <v>12.216666666666665</v>
      </c>
      <c r="L1700" s="2" t="s">
        <v>294</v>
      </c>
      <c r="M1700" s="42">
        <f>IFERROR(VLOOKUP(TA[[#This Row],[Affected Equipment]],'Basic Data'!$I$2:$K$40,3,0),"")</f>
        <v>1.7241379310344799E-3</v>
      </c>
      <c r="N1700">
        <v>-28</v>
      </c>
      <c r="O1700" t="s">
        <v>133</v>
      </c>
      <c r="P1700" s="127" t="s">
        <v>316</v>
      </c>
      <c r="Q1700" s="126" t="s">
        <v>316</v>
      </c>
      <c r="R1700">
        <v>118</v>
      </c>
      <c r="S1700" s="2">
        <v>22</v>
      </c>
      <c r="T1700" t="s">
        <v>295</v>
      </c>
      <c r="U1700" t="s">
        <v>300</v>
      </c>
      <c r="V1700" t="s">
        <v>298</v>
      </c>
      <c r="W1700" s="41"/>
      <c r="X1700" s="41"/>
      <c r="Y1700" s="34"/>
      <c r="Z1700" s="34"/>
      <c r="AA1700" s="35">
        <f>IF(TA[[#This Row],[Work Start time on Fault]]="NA","",(TA[[#This Row],[Fault Acknowledgement Time ]]-TA[[#This Row],[Fault Time]])*24)</f>
        <v>0</v>
      </c>
      <c r="AB1700" s="35">
        <f>(TA[[#This Row],[Work Start time on Fault]]-TA[[#This Row],[Fault Time]])*24</f>
        <v>0</v>
      </c>
      <c r="AC1700" s="34">
        <f>(TA[[#This Row],[Work Completion time on fault]]-TA[[#This Row],[Fault Time]])*24</f>
        <v>0</v>
      </c>
      <c r="AD1700" s="35">
        <f>IFERROR((TA[[#This Row],[Work Completion time on fault]]-TA[[#This Row],[Fault Time]])*24,"")</f>
        <v>0</v>
      </c>
      <c r="AE1700" t="s">
        <v>328</v>
      </c>
      <c r="AF1700" t="s">
        <v>256</v>
      </c>
      <c r="AG1700" s="2"/>
      <c r="AH1700" s="44">
        <f>1-COS(RADIANS(TA[[#This Row],[Avg. Target Angle during Fault Time (Radians)]]-TA[[#This Row],[Angle of affected equipment ]]))</f>
        <v>0.11705240714107301</v>
      </c>
      <c r="AI1700" s="35">
        <f>IFERROR(TA[[#This Row],[Breakdown Time]]*TA[[#This Row],[Plant Equivalent Weightage]],"")</f>
        <v>0</v>
      </c>
    </row>
    <row r="1701" spans="1:35">
      <c r="A1701" s="2">
        <f t="shared" si="209"/>
        <v>1698</v>
      </c>
      <c r="B1701" s="156">
        <f t="shared" si="214"/>
        <v>2026</v>
      </c>
      <c r="C1701" s="129">
        <f t="shared" si="215"/>
        <v>2025</v>
      </c>
      <c r="D1701" s="2" t="s">
        <v>155</v>
      </c>
      <c r="E1701" s="2" t="s">
        <v>155</v>
      </c>
      <c r="F1701" s="39">
        <v>45839</v>
      </c>
      <c r="G1701" s="2">
        <f>DAY(EOMONTH(TA[[#This Row],[Month Year]],0))</f>
        <v>31</v>
      </c>
      <c r="H1701" s="21">
        <v>45867</v>
      </c>
      <c r="I1701" s="41">
        <f>IFERROR(VLOOKUP(TA[[#This Row],[Date]],Raw_Data[[Date]:[Sunset Time (POA&lt;20 W/m2)]],3,0),"")</f>
        <v>0.25555555555555554</v>
      </c>
      <c r="J1701" s="41">
        <f>IFERROR(VLOOKUP(TA[[#This Row],[Date]],Raw_Data[[Date]:[Sunset Time (POA&lt;20 W/m2)]],4,0),"")</f>
        <v>0.76458333333333328</v>
      </c>
      <c r="K1701" s="35">
        <f>IFERROR((TA[[#This Row],[Sunset Time (POA&lt;20 W/m2)]]-TA[[#This Row],[Sunrise Time (POA&gt;20 W/m2)]])*24,"")</f>
        <v>12.216666666666665</v>
      </c>
      <c r="L1701" s="2" t="s">
        <v>296</v>
      </c>
      <c r="M1701" s="42">
        <f>IFERROR(VLOOKUP(TA[[#This Row],[Affected Equipment]],'Basic Data'!$I$2:$K$40,3,0),"")</f>
        <v>8.6206896551724102E-3</v>
      </c>
      <c r="N1701">
        <v>-28</v>
      </c>
      <c r="O1701" t="s">
        <v>135</v>
      </c>
      <c r="P1701" s="22" t="s">
        <v>323</v>
      </c>
      <c r="Q1701" s="2" t="s">
        <v>329</v>
      </c>
      <c r="R1701">
        <v>45</v>
      </c>
      <c r="S1701" s="2">
        <v>8</v>
      </c>
      <c r="T1701" t="s">
        <v>297</v>
      </c>
      <c r="U1701" t="s">
        <v>300</v>
      </c>
      <c r="V1701" t="s">
        <v>301</v>
      </c>
      <c r="W1701" s="41"/>
      <c r="X1701" s="41"/>
      <c r="Y1701" s="34"/>
      <c r="Z1701" s="34"/>
      <c r="AA1701" s="35">
        <f>IF(TA[[#This Row],[Work Start time on Fault]]="NA","",(TA[[#This Row],[Fault Acknowledgement Time ]]-TA[[#This Row],[Fault Time]])*24)</f>
        <v>0</v>
      </c>
      <c r="AB1701" s="35">
        <f>(TA[[#This Row],[Work Start time on Fault]]-TA[[#This Row],[Fault Time]])*24</f>
        <v>0</v>
      </c>
      <c r="AC1701" s="34">
        <f>(TA[[#This Row],[Work Completion time on fault]]-TA[[#This Row],[Fault Time]])*24</f>
        <v>0</v>
      </c>
      <c r="AD1701" s="35">
        <f>IFERROR((TA[[#This Row],[Work Completion time on fault]]-TA[[#This Row],[Fault Time]])*24,"")</f>
        <v>0</v>
      </c>
      <c r="AE1701" t="s">
        <v>328</v>
      </c>
      <c r="AF1701" t="s">
        <v>256</v>
      </c>
      <c r="AG1701" s="2"/>
      <c r="AH1701" s="44">
        <f>1-COS(RADIANS(TA[[#This Row],[Avg. Target Angle during Fault Time (Radians)]]-TA[[#This Row],[Angle of affected equipment ]]))</f>
        <v>0.11705240714107301</v>
      </c>
      <c r="AI1701" s="35">
        <f>IFERROR(TA[[#This Row],[Breakdown Time]]*TA[[#This Row],[Plant Equivalent Weightage]],"")</f>
        <v>0</v>
      </c>
    </row>
    <row r="1702" spans="1:35">
      <c r="A1702" s="2">
        <f t="shared" si="209"/>
        <v>1699</v>
      </c>
      <c r="B1702" s="156">
        <f t="shared" si="214"/>
        <v>2026</v>
      </c>
      <c r="C1702" s="129">
        <f t="shared" si="215"/>
        <v>2025</v>
      </c>
      <c r="D1702" s="2" t="s">
        <v>155</v>
      </c>
      <c r="E1702" s="2" t="s">
        <v>155</v>
      </c>
      <c r="F1702" s="39">
        <v>45839</v>
      </c>
      <c r="G1702" s="2">
        <f>DAY(EOMONTH(TA[[#This Row],[Month Year]],0))</f>
        <v>31</v>
      </c>
      <c r="H1702" s="21">
        <v>45867</v>
      </c>
      <c r="I1702" s="41">
        <f>IFERROR(VLOOKUP(TA[[#This Row],[Date]],Raw_Data[[Date]:[Sunset Time (POA&lt;20 W/m2)]],3,0),"")</f>
        <v>0.25555555555555554</v>
      </c>
      <c r="J1702" s="41">
        <f>IFERROR(VLOOKUP(TA[[#This Row],[Date]],Raw_Data[[Date]:[Sunset Time (POA&lt;20 W/m2)]],4,0),"")</f>
        <v>0.76458333333333328</v>
      </c>
      <c r="K1702" s="35">
        <f>IFERROR((TA[[#This Row],[Sunset Time (POA&lt;20 W/m2)]]-TA[[#This Row],[Sunrise Time (POA&gt;20 W/m2)]])*24,"")</f>
        <v>12.216666666666665</v>
      </c>
      <c r="L1702" s="2" t="s">
        <v>296</v>
      </c>
      <c r="M1702" s="42">
        <f>IFERROR(VLOOKUP(TA[[#This Row],[Affected Equipment]],'Basic Data'!$I$2:$K$40,3,0),"")</f>
        <v>8.6206896551724102E-3</v>
      </c>
      <c r="N1702">
        <v>-28</v>
      </c>
      <c r="O1702" t="s">
        <v>135</v>
      </c>
      <c r="P1702" s="22" t="s">
        <v>323</v>
      </c>
      <c r="Q1702" s="2" t="s">
        <v>329</v>
      </c>
      <c r="R1702">
        <v>47</v>
      </c>
      <c r="S1702" s="2">
        <v>18</v>
      </c>
      <c r="T1702" t="s">
        <v>297</v>
      </c>
      <c r="U1702" t="s">
        <v>300</v>
      </c>
      <c r="V1702" t="s">
        <v>301</v>
      </c>
      <c r="W1702" s="41"/>
      <c r="X1702" s="41"/>
      <c r="Y1702" s="34"/>
      <c r="Z1702" s="34"/>
      <c r="AA1702" s="35">
        <f>IF(TA[[#This Row],[Work Start time on Fault]]="NA","",(TA[[#This Row],[Fault Acknowledgement Time ]]-TA[[#This Row],[Fault Time]])*24)</f>
        <v>0</v>
      </c>
      <c r="AB1702" s="35">
        <f>(TA[[#This Row],[Work Start time on Fault]]-TA[[#This Row],[Fault Time]])*24</f>
        <v>0</v>
      </c>
      <c r="AC1702" s="34">
        <f>(TA[[#This Row],[Work Completion time on fault]]-TA[[#This Row],[Fault Time]])*24</f>
        <v>0</v>
      </c>
      <c r="AD1702" s="35">
        <f>IFERROR((TA[[#This Row],[Work Completion time on fault]]-TA[[#This Row],[Fault Time]])*24,"")</f>
        <v>0</v>
      </c>
      <c r="AE1702" t="s">
        <v>328</v>
      </c>
      <c r="AF1702" t="s">
        <v>256</v>
      </c>
      <c r="AG1702" s="2"/>
      <c r="AH1702" s="44">
        <f>1-COS(RADIANS(TA[[#This Row],[Avg. Target Angle during Fault Time (Radians)]]-TA[[#This Row],[Angle of affected equipment ]]))</f>
        <v>0.11705240714107301</v>
      </c>
      <c r="AI1702" s="35">
        <f>IFERROR(TA[[#This Row],[Breakdown Time]]*TA[[#This Row],[Plant Equivalent Weightage]],"")</f>
        <v>0</v>
      </c>
    </row>
    <row r="1703" spans="1:35">
      <c r="A1703" s="2">
        <f t="shared" si="209"/>
        <v>1700</v>
      </c>
      <c r="B1703" s="156">
        <f t="shared" si="214"/>
        <v>2026</v>
      </c>
      <c r="C1703" s="129">
        <f t="shared" si="215"/>
        <v>2025</v>
      </c>
      <c r="D1703" s="2" t="s">
        <v>155</v>
      </c>
      <c r="E1703" s="2" t="s">
        <v>155</v>
      </c>
      <c r="F1703" s="39">
        <v>45839</v>
      </c>
      <c r="G1703" s="2">
        <f>DAY(EOMONTH(TA[[#This Row],[Month Year]],0))</f>
        <v>31</v>
      </c>
      <c r="H1703" s="21">
        <v>45867</v>
      </c>
      <c r="I1703" s="41">
        <f>IFERROR(VLOOKUP(TA[[#This Row],[Date]],Raw_Data[[Date]:[Sunset Time (POA&lt;20 W/m2)]],3,0),"")</f>
        <v>0.25555555555555554</v>
      </c>
      <c r="J1703" s="41">
        <f>IFERROR(VLOOKUP(TA[[#This Row],[Date]],Raw_Data[[Date]:[Sunset Time (POA&lt;20 W/m2)]],4,0),"")</f>
        <v>0.76458333333333328</v>
      </c>
      <c r="K1703" s="35">
        <f>IFERROR((TA[[#This Row],[Sunset Time (POA&lt;20 W/m2)]]-TA[[#This Row],[Sunrise Time (POA&gt;20 W/m2)]])*24,"")</f>
        <v>12.216666666666665</v>
      </c>
      <c r="L1703" s="2" t="s">
        <v>296</v>
      </c>
      <c r="M1703" s="42">
        <f>IFERROR(VLOOKUP(TA[[#This Row],[Affected Equipment]],'Basic Data'!$I$2:$K$40,3,0),"")</f>
        <v>8.6206896551724102E-3</v>
      </c>
      <c r="N1703">
        <v>-28</v>
      </c>
      <c r="O1703" t="s">
        <v>134</v>
      </c>
      <c r="P1703" s="22" t="s">
        <v>330</v>
      </c>
      <c r="Q1703" s="2" t="s">
        <v>323</v>
      </c>
      <c r="R1703">
        <v>30</v>
      </c>
      <c r="S1703" s="2">
        <v>57</v>
      </c>
      <c r="T1703" t="s">
        <v>297</v>
      </c>
      <c r="U1703" t="s">
        <v>300</v>
      </c>
      <c r="V1703" t="s">
        <v>301</v>
      </c>
      <c r="W1703" s="41"/>
      <c r="X1703" s="41"/>
      <c r="Y1703" s="34"/>
      <c r="Z1703" s="34"/>
      <c r="AA1703" s="35">
        <f>IF(TA[[#This Row],[Work Start time on Fault]]="NA","",(TA[[#This Row],[Fault Acknowledgement Time ]]-TA[[#This Row],[Fault Time]])*24)</f>
        <v>0</v>
      </c>
      <c r="AB1703" s="35">
        <f>(TA[[#This Row],[Work Start time on Fault]]-TA[[#This Row],[Fault Time]])*24</f>
        <v>0</v>
      </c>
      <c r="AC1703" s="34">
        <f>(TA[[#This Row],[Work Completion time on fault]]-TA[[#This Row],[Fault Time]])*24</f>
        <v>0</v>
      </c>
      <c r="AD1703" s="35">
        <f>IFERROR((TA[[#This Row],[Work Completion time on fault]]-TA[[#This Row],[Fault Time]])*24,"")</f>
        <v>0</v>
      </c>
      <c r="AE1703" t="s">
        <v>328</v>
      </c>
      <c r="AF1703" t="s">
        <v>256</v>
      </c>
      <c r="AG1703" s="2"/>
      <c r="AH1703" s="44">
        <f>1-COS(RADIANS(TA[[#This Row],[Avg. Target Angle during Fault Time (Radians)]]-TA[[#This Row],[Angle of affected equipment ]]))</f>
        <v>0.11705240714107301</v>
      </c>
      <c r="AI1703" s="35">
        <f>IFERROR(TA[[#This Row],[Breakdown Time]]*TA[[#This Row],[Plant Equivalent Weightage]],"")</f>
        <v>0</v>
      </c>
    </row>
    <row r="1704" spans="1:35">
      <c r="A1704" s="2">
        <f t="shared" si="209"/>
        <v>1701</v>
      </c>
      <c r="B1704" s="156">
        <f t="shared" si="214"/>
        <v>2026</v>
      </c>
      <c r="C1704" s="129">
        <f t="shared" si="215"/>
        <v>2025</v>
      </c>
      <c r="D1704" s="2" t="s">
        <v>155</v>
      </c>
      <c r="E1704" s="2" t="s">
        <v>155</v>
      </c>
      <c r="F1704" s="39">
        <v>45839</v>
      </c>
      <c r="G1704" s="2">
        <f>DAY(EOMONTH(TA[[#This Row],[Month Year]],0))</f>
        <v>31</v>
      </c>
      <c r="H1704" s="21">
        <v>45867</v>
      </c>
      <c r="I1704" s="41">
        <f>IFERROR(VLOOKUP(TA[[#This Row],[Date]],Raw_Data[[Date]:[Sunset Time (POA&lt;20 W/m2)]],3,0),"")</f>
        <v>0.25555555555555554</v>
      </c>
      <c r="J1704" s="41">
        <f>IFERROR(VLOOKUP(TA[[#This Row],[Date]],Raw_Data[[Date]:[Sunset Time (POA&lt;20 W/m2)]],4,0),"")</f>
        <v>0.76458333333333328</v>
      </c>
      <c r="K1704" s="35">
        <f>IFERROR((TA[[#This Row],[Sunset Time (POA&lt;20 W/m2)]]-TA[[#This Row],[Sunrise Time (POA&gt;20 W/m2)]])*24,"")</f>
        <v>12.216666666666665</v>
      </c>
      <c r="L1704" s="2" t="s">
        <v>296</v>
      </c>
      <c r="M1704" s="42">
        <f>IFERROR(VLOOKUP(TA[[#This Row],[Affected Equipment]],'Basic Data'!$I$2:$K$40,3,0),"")</f>
        <v>8.6206896551724102E-3</v>
      </c>
      <c r="N1704">
        <v>-28</v>
      </c>
      <c r="O1704" t="s">
        <v>134</v>
      </c>
      <c r="P1704" s="22" t="s">
        <v>330</v>
      </c>
      <c r="Q1704" s="2" t="s">
        <v>323</v>
      </c>
      <c r="R1704">
        <v>31</v>
      </c>
      <c r="S1704" s="2">
        <v>61</v>
      </c>
      <c r="T1704" t="s">
        <v>297</v>
      </c>
      <c r="U1704" t="s">
        <v>300</v>
      </c>
      <c r="V1704" t="s">
        <v>301</v>
      </c>
      <c r="W1704" s="41"/>
      <c r="X1704" s="41"/>
      <c r="Y1704" s="34"/>
      <c r="Z1704" s="34"/>
      <c r="AA1704" s="35">
        <f>IF(TA[[#This Row],[Work Start time on Fault]]="NA","",(TA[[#This Row],[Fault Acknowledgement Time ]]-TA[[#This Row],[Fault Time]])*24)</f>
        <v>0</v>
      </c>
      <c r="AB1704" s="35">
        <f>(TA[[#This Row],[Work Start time on Fault]]-TA[[#This Row],[Fault Time]])*24</f>
        <v>0</v>
      </c>
      <c r="AC1704" s="34">
        <f>(TA[[#This Row],[Work Completion time on fault]]-TA[[#This Row],[Fault Time]])*24</f>
        <v>0</v>
      </c>
      <c r="AD1704" s="35">
        <f>IFERROR((TA[[#This Row],[Work Completion time on fault]]-TA[[#This Row],[Fault Time]])*24,"")</f>
        <v>0</v>
      </c>
      <c r="AE1704" t="s">
        <v>328</v>
      </c>
      <c r="AF1704" t="s">
        <v>256</v>
      </c>
      <c r="AG1704" s="2"/>
      <c r="AH1704" s="44">
        <f>1-COS(RADIANS(TA[[#This Row],[Avg. Target Angle during Fault Time (Radians)]]-TA[[#This Row],[Angle of affected equipment ]]))</f>
        <v>0.11705240714107301</v>
      </c>
      <c r="AI1704" s="35">
        <f>IFERROR(TA[[#This Row],[Breakdown Time]]*TA[[#This Row],[Plant Equivalent Weightage]],"")</f>
        <v>0</v>
      </c>
    </row>
    <row r="1705" spans="1:35">
      <c r="A1705" s="2">
        <f t="shared" si="209"/>
        <v>1702</v>
      </c>
      <c r="B1705" s="156">
        <f t="shared" si="214"/>
        <v>2026</v>
      </c>
      <c r="C1705" s="129">
        <f t="shared" si="215"/>
        <v>2025</v>
      </c>
      <c r="D1705" s="2" t="s">
        <v>155</v>
      </c>
      <c r="E1705" s="2" t="s">
        <v>155</v>
      </c>
      <c r="F1705" s="39">
        <v>45839</v>
      </c>
      <c r="G1705" s="2">
        <f>DAY(EOMONTH(TA[[#This Row],[Month Year]],0))</f>
        <v>31</v>
      </c>
      <c r="H1705" s="21">
        <v>45867</v>
      </c>
      <c r="I1705" s="41">
        <f>IFERROR(VLOOKUP(TA[[#This Row],[Date]],Raw_Data[[Date]:[Sunset Time (POA&lt;20 W/m2)]],3,0),"")</f>
        <v>0.25555555555555554</v>
      </c>
      <c r="J1705" s="41">
        <f>IFERROR(VLOOKUP(TA[[#This Row],[Date]],Raw_Data[[Date]:[Sunset Time (POA&lt;20 W/m2)]],4,0),"")</f>
        <v>0.76458333333333328</v>
      </c>
      <c r="K1705" s="35">
        <f>IFERROR((TA[[#This Row],[Sunset Time (POA&lt;20 W/m2)]]-TA[[#This Row],[Sunrise Time (POA&gt;20 W/m2)]])*24,"")</f>
        <v>12.216666666666665</v>
      </c>
      <c r="L1705" s="2" t="s">
        <v>312</v>
      </c>
      <c r="M1705" s="42">
        <f>IFERROR(VLOOKUP(TA[[#This Row],[Affected Equipment]],'Basic Data'!$I$2:$K$40,3,0),"")</f>
        <v>5.74712643678161E-3</v>
      </c>
      <c r="N1705">
        <v>-28</v>
      </c>
      <c r="O1705" t="s">
        <v>133</v>
      </c>
      <c r="P1705" s="22" t="s">
        <v>330</v>
      </c>
      <c r="Q1705" s="2" t="s">
        <v>323</v>
      </c>
      <c r="R1705">
        <v>26</v>
      </c>
      <c r="S1705" s="2">
        <v>37</v>
      </c>
      <c r="T1705" t="s">
        <v>297</v>
      </c>
      <c r="U1705" t="s">
        <v>300</v>
      </c>
      <c r="V1705" t="s">
        <v>301</v>
      </c>
      <c r="W1705" s="41"/>
      <c r="X1705" s="41"/>
      <c r="Y1705" s="34"/>
      <c r="Z1705" s="34"/>
      <c r="AA1705" s="35">
        <f>IF(TA[[#This Row],[Work Start time on Fault]]="NA","",(TA[[#This Row],[Fault Acknowledgement Time ]]-TA[[#This Row],[Fault Time]])*24)</f>
        <v>0</v>
      </c>
      <c r="AB1705" s="35">
        <f>(TA[[#This Row],[Work Start time on Fault]]-TA[[#This Row],[Fault Time]])*24</f>
        <v>0</v>
      </c>
      <c r="AC1705" s="34">
        <f>(TA[[#This Row],[Work Completion time on fault]]-TA[[#This Row],[Fault Time]])*24</f>
        <v>0</v>
      </c>
      <c r="AD1705" s="35">
        <f>IFERROR((TA[[#This Row],[Work Completion time on fault]]-TA[[#This Row],[Fault Time]])*24,"")</f>
        <v>0</v>
      </c>
      <c r="AE1705" t="s">
        <v>328</v>
      </c>
      <c r="AF1705" t="s">
        <v>256</v>
      </c>
      <c r="AG1705" s="2"/>
      <c r="AH1705" s="44">
        <f>1-COS(RADIANS(TA[[#This Row],[Avg. Target Angle during Fault Time (Radians)]]-TA[[#This Row],[Angle of affected equipment ]]))</f>
        <v>0.11705240714107301</v>
      </c>
      <c r="AI1705" s="35">
        <f>IFERROR(TA[[#This Row],[Breakdown Time]]*TA[[#This Row],[Plant Equivalent Weightage]],"")</f>
        <v>0</v>
      </c>
    </row>
    <row r="1706" spans="1:35">
      <c r="A1706" s="2">
        <f t="shared" si="209"/>
        <v>1703</v>
      </c>
      <c r="B1706" s="156">
        <f t="shared" si="214"/>
        <v>2026</v>
      </c>
      <c r="C1706" s="129">
        <f t="shared" si="215"/>
        <v>2025</v>
      </c>
      <c r="D1706" s="2" t="s">
        <v>155</v>
      </c>
      <c r="E1706" s="2" t="s">
        <v>155</v>
      </c>
      <c r="F1706" s="39">
        <v>45839</v>
      </c>
      <c r="G1706" s="2">
        <f>DAY(EOMONTH(TA[[#This Row],[Month Year]],0))</f>
        <v>31</v>
      </c>
      <c r="H1706" s="21">
        <v>45867</v>
      </c>
      <c r="I1706" s="41">
        <f>IFERROR(VLOOKUP(TA[[#This Row],[Date]],Raw_Data[[Date]:[Sunset Time (POA&lt;20 W/m2)]],3,0),"")</f>
        <v>0.25555555555555554</v>
      </c>
      <c r="J1706" s="41">
        <f>IFERROR(VLOOKUP(TA[[#This Row],[Date]],Raw_Data[[Date]:[Sunset Time (POA&lt;20 W/m2)]],4,0),"")</f>
        <v>0.76458333333333328</v>
      </c>
      <c r="K1706" s="35">
        <f>IFERROR((TA[[#This Row],[Sunset Time (POA&lt;20 W/m2)]]-TA[[#This Row],[Sunrise Time (POA&gt;20 W/m2)]])*24,"")</f>
        <v>12.216666666666665</v>
      </c>
      <c r="L1706" s="2" t="s">
        <v>312</v>
      </c>
      <c r="M1706" s="42">
        <f>IFERROR(VLOOKUP(TA[[#This Row],[Affected Equipment]],'Basic Data'!$I$2:$K$40,3,0),"")</f>
        <v>5.74712643678161E-3</v>
      </c>
      <c r="N1706">
        <v>-28</v>
      </c>
      <c r="O1706" t="s">
        <v>133</v>
      </c>
      <c r="P1706" s="22" t="s">
        <v>330</v>
      </c>
      <c r="Q1706" s="2" t="s">
        <v>323</v>
      </c>
      <c r="R1706">
        <v>27</v>
      </c>
      <c r="S1706" s="2">
        <v>42</v>
      </c>
      <c r="T1706" t="s">
        <v>297</v>
      </c>
      <c r="U1706" t="s">
        <v>300</v>
      </c>
      <c r="V1706" t="s">
        <v>301</v>
      </c>
      <c r="W1706" s="41">
        <f>IFERROR(VLOOKUP(TA[[#This Row],[Date]],Raw_Data[[Date]:[Sunset Time (POA&lt;20 W/m2)]],3,0),"")</f>
        <v>0.25555555555555554</v>
      </c>
      <c r="X1706" s="41">
        <f>IFERROR(VLOOKUP(TA[[#This Row],[Date]],Raw_Data[[Date]:[Sunset Time (POA&lt;20 W/m2)]],3,0),"")</f>
        <v>0.25555555555555554</v>
      </c>
      <c r="Y1706" s="34"/>
      <c r="Z1706" s="34">
        <v>0.76041666666666663</v>
      </c>
      <c r="AA1706" s="35">
        <f>IF(TA[[#This Row],[Work Start time on Fault]]="NA","",(TA[[#This Row],[Fault Acknowledgement Time ]]-TA[[#This Row],[Fault Time]])*24)</f>
        <v>0</v>
      </c>
      <c r="AB1706" s="35">
        <f>(TA[[#This Row],[Work Start time on Fault]]-TA[[#This Row],[Fault Time]])*24</f>
        <v>-6.1333333333333329</v>
      </c>
      <c r="AC1706" s="34">
        <f>(TA[[#This Row],[Work Completion time on fault]]-TA[[#This Row],[Fault Time]])*24</f>
        <v>12.116666666666667</v>
      </c>
      <c r="AD1706" s="35">
        <f>IFERROR((TA[[#This Row],[Work Completion time on fault]]-TA[[#This Row],[Fault Time]])*24,"")</f>
        <v>12.116666666666667</v>
      </c>
      <c r="AE1706" t="s">
        <v>309</v>
      </c>
      <c r="AF1706" t="s">
        <v>256</v>
      </c>
      <c r="AG1706" s="2"/>
      <c r="AH1706" s="44">
        <f>1-COS(RADIANS(TA[[#This Row],[Avg. Target Angle during Fault Time (Radians)]]-TA[[#This Row],[Angle of affected equipment ]]))</f>
        <v>0.11705240714107301</v>
      </c>
      <c r="AI1706" s="35">
        <f>IFERROR(TA[[#This Row],[Breakdown Time]]*TA[[#This Row],[Plant Equivalent Weightage]],"")</f>
        <v>6.9636015325670514E-2</v>
      </c>
    </row>
    <row r="1707" spans="1:35">
      <c r="A1707" s="2">
        <f t="shared" si="209"/>
        <v>1704</v>
      </c>
      <c r="B1707" s="156">
        <f t="shared" ref="B1707:B1719" si="216">YEAR(H1707)+IF(MONTH(H1707)&gt;=4,1,0)</f>
        <v>2026</v>
      </c>
      <c r="C1707" s="129">
        <f t="shared" ref="C1707:C1719" si="217">YEAR(H1707)</f>
        <v>2025</v>
      </c>
      <c r="D1707" s="2" t="s">
        <v>155</v>
      </c>
      <c r="E1707" s="2" t="s">
        <v>155</v>
      </c>
      <c r="F1707" s="39">
        <v>45839</v>
      </c>
      <c r="G1707" s="2">
        <f>DAY(EOMONTH(TA[[#This Row],[Month Year]],0))</f>
        <v>31</v>
      </c>
      <c r="H1707" s="21">
        <v>45868</v>
      </c>
      <c r="I1707" s="41">
        <f>IFERROR(VLOOKUP(TA[[#This Row],[Date]],Raw_Data[[Date]:[Sunset Time (POA&lt;20 W/m2)]],3,0),"")</f>
        <v>0.25694444444444442</v>
      </c>
      <c r="J1707" s="41">
        <f>IFERROR(VLOOKUP(TA[[#This Row],[Date]],Raw_Data[[Date]:[Sunset Time (POA&lt;20 W/m2)]],4,0),"")</f>
        <v>0.76875000000000004</v>
      </c>
      <c r="K1707" s="35">
        <f>IFERROR((TA[[#This Row],[Sunset Time (POA&lt;20 W/m2)]]-TA[[#This Row],[Sunrise Time (POA&gt;20 W/m2)]])*24,"")</f>
        <v>12.283333333333335</v>
      </c>
      <c r="L1707" s="2" t="s">
        <v>294</v>
      </c>
      <c r="M1707" s="42">
        <f>IFERROR(VLOOKUP(TA[[#This Row],[Affected Equipment]],'Basic Data'!$I$2:$K$40,3,0),"")</f>
        <v>1.7241379310344799E-3</v>
      </c>
      <c r="N1707">
        <v>-28</v>
      </c>
      <c r="O1707" t="s">
        <v>135</v>
      </c>
      <c r="P1707" s="127" t="s">
        <v>318</v>
      </c>
      <c r="Q1707" s="126" t="s">
        <v>318</v>
      </c>
      <c r="R1707">
        <v>131</v>
      </c>
      <c r="S1707" s="2">
        <v>38</v>
      </c>
      <c r="T1707" t="s">
        <v>295</v>
      </c>
      <c r="U1707" t="s">
        <v>300</v>
      </c>
      <c r="V1707" t="s">
        <v>298</v>
      </c>
      <c r="W1707" s="41"/>
      <c r="X1707" s="41"/>
      <c r="Y1707" s="34"/>
      <c r="Z1707" s="34"/>
      <c r="AA1707" s="35">
        <f>IF(TA[[#This Row],[Work Start time on Fault]]="NA","",(TA[[#This Row],[Fault Acknowledgement Time ]]-TA[[#This Row],[Fault Time]])*24)</f>
        <v>0</v>
      </c>
      <c r="AB1707" s="35">
        <f>(TA[[#This Row],[Work Start time on Fault]]-TA[[#This Row],[Fault Time]])*24</f>
        <v>0</v>
      </c>
      <c r="AC1707" s="34">
        <f>(TA[[#This Row],[Work Completion time on fault]]-TA[[#This Row],[Fault Time]])*24</f>
        <v>0</v>
      </c>
      <c r="AD1707" s="35">
        <f>IFERROR((TA[[#This Row],[Work Completion time on fault]]-TA[[#This Row],[Fault Time]])*24,"")</f>
        <v>0</v>
      </c>
      <c r="AE1707" t="s">
        <v>328</v>
      </c>
      <c r="AF1707" t="s">
        <v>256</v>
      </c>
      <c r="AG1707" s="2"/>
      <c r="AH1707" s="44">
        <f>1-COS(RADIANS(TA[[#This Row],[Avg. Target Angle during Fault Time (Radians)]]-TA[[#This Row],[Angle of affected equipment ]]))</f>
        <v>0.11705240714107301</v>
      </c>
      <c r="AI1707" s="35">
        <f>IFERROR(TA[[#This Row],[Breakdown Time]]*TA[[#This Row],[Plant Equivalent Weightage]],"")</f>
        <v>0</v>
      </c>
    </row>
    <row r="1708" spans="1:35">
      <c r="A1708" s="2">
        <f t="shared" ref="A1708:A1732" si="218">A1707+1</f>
        <v>1705</v>
      </c>
      <c r="B1708" s="156">
        <f t="shared" si="216"/>
        <v>2026</v>
      </c>
      <c r="C1708" s="129">
        <f t="shared" si="217"/>
        <v>2025</v>
      </c>
      <c r="D1708" s="2" t="s">
        <v>155</v>
      </c>
      <c r="E1708" s="2" t="s">
        <v>155</v>
      </c>
      <c r="F1708" s="39">
        <v>45839</v>
      </c>
      <c r="G1708" s="2">
        <f>DAY(EOMONTH(TA[[#This Row],[Month Year]],0))</f>
        <v>31</v>
      </c>
      <c r="H1708" s="21">
        <v>45868</v>
      </c>
      <c r="I1708" s="41">
        <f>IFERROR(VLOOKUP(TA[[#This Row],[Date]],Raw_Data[[Date]:[Sunset Time (POA&lt;20 W/m2)]],3,0),"")</f>
        <v>0.25694444444444442</v>
      </c>
      <c r="J1708" s="41">
        <f>IFERROR(VLOOKUP(TA[[#This Row],[Date]],Raw_Data[[Date]:[Sunset Time (POA&lt;20 W/m2)]],4,0),"")</f>
        <v>0.76875000000000004</v>
      </c>
      <c r="K1708" s="35">
        <f>IFERROR((TA[[#This Row],[Sunset Time (POA&lt;20 W/m2)]]-TA[[#This Row],[Sunrise Time (POA&gt;20 W/m2)]])*24,"")</f>
        <v>12.283333333333335</v>
      </c>
      <c r="L1708" s="2" t="s">
        <v>294</v>
      </c>
      <c r="M1708" s="42">
        <f>IFERROR(VLOOKUP(TA[[#This Row],[Affected Equipment]],'Basic Data'!$I$2:$K$40,3,0),"")</f>
        <v>1.7241379310344799E-3</v>
      </c>
      <c r="N1708">
        <v>-28</v>
      </c>
      <c r="O1708" t="s">
        <v>135</v>
      </c>
      <c r="P1708" s="127" t="s">
        <v>318</v>
      </c>
      <c r="Q1708" s="126" t="s">
        <v>318</v>
      </c>
      <c r="R1708">
        <v>131</v>
      </c>
      <c r="S1708" s="2">
        <v>39</v>
      </c>
      <c r="T1708" t="s">
        <v>295</v>
      </c>
      <c r="U1708" t="s">
        <v>300</v>
      </c>
      <c r="V1708" t="s">
        <v>298</v>
      </c>
      <c r="W1708" s="41"/>
      <c r="X1708" s="41"/>
      <c r="Y1708" s="34"/>
      <c r="Z1708" s="34"/>
      <c r="AA1708" s="35">
        <f>IF(TA[[#This Row],[Work Start time on Fault]]="NA","",(TA[[#This Row],[Fault Acknowledgement Time ]]-TA[[#This Row],[Fault Time]])*24)</f>
        <v>0</v>
      </c>
      <c r="AB1708" s="35">
        <f>(TA[[#This Row],[Work Start time on Fault]]-TA[[#This Row],[Fault Time]])*24</f>
        <v>0</v>
      </c>
      <c r="AC1708" s="34">
        <f>(TA[[#This Row],[Work Completion time on fault]]-TA[[#This Row],[Fault Time]])*24</f>
        <v>0</v>
      </c>
      <c r="AD1708" s="35">
        <f>IFERROR((TA[[#This Row],[Work Completion time on fault]]-TA[[#This Row],[Fault Time]])*24,"")</f>
        <v>0</v>
      </c>
      <c r="AE1708" t="s">
        <v>328</v>
      </c>
      <c r="AF1708" t="s">
        <v>256</v>
      </c>
      <c r="AG1708" s="2"/>
      <c r="AH1708" s="44">
        <f>1-COS(RADIANS(TA[[#This Row],[Avg. Target Angle during Fault Time (Radians)]]-TA[[#This Row],[Angle of affected equipment ]]))</f>
        <v>0.11705240714107301</v>
      </c>
      <c r="AI1708" s="35">
        <f>IFERROR(TA[[#This Row],[Breakdown Time]]*TA[[#This Row],[Plant Equivalent Weightage]],"")</f>
        <v>0</v>
      </c>
    </row>
    <row r="1709" spans="1:35">
      <c r="A1709" s="2">
        <f t="shared" si="218"/>
        <v>1706</v>
      </c>
      <c r="B1709" s="156">
        <f t="shared" si="216"/>
        <v>2026</v>
      </c>
      <c r="C1709" s="129">
        <f t="shared" si="217"/>
        <v>2025</v>
      </c>
      <c r="D1709" s="2" t="s">
        <v>155</v>
      </c>
      <c r="E1709" s="2" t="s">
        <v>155</v>
      </c>
      <c r="F1709" s="39">
        <v>45839</v>
      </c>
      <c r="G1709" s="2">
        <f>DAY(EOMONTH(TA[[#This Row],[Month Year]],0))</f>
        <v>31</v>
      </c>
      <c r="H1709" s="21">
        <v>45868</v>
      </c>
      <c r="I1709" s="41">
        <f>IFERROR(VLOOKUP(TA[[#This Row],[Date]],Raw_Data[[Date]:[Sunset Time (POA&lt;20 W/m2)]],3,0),"")</f>
        <v>0.25694444444444442</v>
      </c>
      <c r="J1709" s="41">
        <f>IFERROR(VLOOKUP(TA[[#This Row],[Date]],Raw_Data[[Date]:[Sunset Time (POA&lt;20 W/m2)]],4,0),"")</f>
        <v>0.76875000000000004</v>
      </c>
      <c r="K1709" s="35">
        <f>IFERROR((TA[[#This Row],[Sunset Time (POA&lt;20 W/m2)]]-TA[[#This Row],[Sunrise Time (POA&gt;20 W/m2)]])*24,"")</f>
        <v>12.283333333333335</v>
      </c>
      <c r="L1709" s="2" t="s">
        <v>296</v>
      </c>
      <c r="M1709" s="42">
        <f>IFERROR(VLOOKUP(TA[[#This Row],[Affected Equipment]],'Basic Data'!$I$2:$K$40,3,0),"")</f>
        <v>8.6206896551724102E-3</v>
      </c>
      <c r="N1709">
        <v>-28</v>
      </c>
      <c r="O1709" t="s">
        <v>135</v>
      </c>
      <c r="P1709" s="127" t="s">
        <v>318</v>
      </c>
      <c r="Q1709" s="2" t="s">
        <v>321</v>
      </c>
      <c r="R1709">
        <v>133</v>
      </c>
      <c r="S1709" s="2">
        <v>26</v>
      </c>
      <c r="T1709" t="s">
        <v>297</v>
      </c>
      <c r="U1709" t="s">
        <v>300</v>
      </c>
      <c r="V1709" t="s">
        <v>314</v>
      </c>
      <c r="W1709" s="41">
        <f>IFERROR(VLOOKUP(TA[[#This Row],[Date]],Raw_Data[[Date]:[Sunset Time (POA&lt;20 W/m2)]],3,0),"")</f>
        <v>0.25694444444444442</v>
      </c>
      <c r="X1709" s="41">
        <f>IFERROR(VLOOKUP(TA[[#This Row],[Date]],Raw_Data[[Date]:[Sunset Time (POA&lt;20 W/m2)]],3,0),"")</f>
        <v>0.25694444444444442</v>
      </c>
      <c r="Y1709" s="34"/>
      <c r="Z1709" s="34">
        <v>0.76041666666666663</v>
      </c>
      <c r="AA1709" s="35">
        <f>IF(TA[[#This Row],[Work Start time on Fault]]="NA","",(TA[[#This Row],[Fault Acknowledgement Time ]]-TA[[#This Row],[Fault Time]])*24)</f>
        <v>0</v>
      </c>
      <c r="AB1709" s="35">
        <f>(TA[[#This Row],[Work Start time on Fault]]-TA[[#This Row],[Fault Time]])*24</f>
        <v>-6.1666666666666661</v>
      </c>
      <c r="AC1709" s="34">
        <f>(TA[[#This Row],[Work Completion time on fault]]-TA[[#This Row],[Fault Time]])*24</f>
        <v>12.083333333333332</v>
      </c>
      <c r="AD1709" s="35">
        <f>IFERROR((TA[[#This Row],[Work Completion time on fault]]-TA[[#This Row],[Fault Time]])*24,"")</f>
        <v>12.083333333333332</v>
      </c>
      <c r="AE1709" t="s">
        <v>328</v>
      </c>
      <c r="AF1709" t="s">
        <v>256</v>
      </c>
      <c r="AG1709" s="2"/>
      <c r="AH1709" s="44">
        <f>1-COS(RADIANS(TA[[#This Row],[Avg. Target Angle during Fault Time (Radians)]]-TA[[#This Row],[Angle of affected equipment ]]))</f>
        <v>0.11705240714107301</v>
      </c>
      <c r="AI1709" s="35">
        <f>IFERROR(TA[[#This Row],[Breakdown Time]]*TA[[#This Row],[Plant Equivalent Weightage]],"")</f>
        <v>0.10416666666666662</v>
      </c>
    </row>
    <row r="1710" spans="1:35">
      <c r="A1710" s="2">
        <f t="shared" si="218"/>
        <v>1707</v>
      </c>
      <c r="B1710" s="156">
        <f t="shared" si="216"/>
        <v>2026</v>
      </c>
      <c r="C1710" s="129">
        <f t="shared" si="217"/>
        <v>2025</v>
      </c>
      <c r="D1710" s="2" t="s">
        <v>155</v>
      </c>
      <c r="E1710" s="2" t="s">
        <v>155</v>
      </c>
      <c r="F1710" s="39">
        <v>45839</v>
      </c>
      <c r="G1710" s="2">
        <f>DAY(EOMONTH(TA[[#This Row],[Month Year]],0))</f>
        <v>31</v>
      </c>
      <c r="H1710" s="21">
        <v>45868</v>
      </c>
      <c r="I1710" s="41">
        <f>IFERROR(VLOOKUP(TA[[#This Row],[Date]],Raw_Data[[Date]:[Sunset Time (POA&lt;20 W/m2)]],3,0),"")</f>
        <v>0.25694444444444442</v>
      </c>
      <c r="J1710" s="41">
        <f>IFERROR(VLOOKUP(TA[[#This Row],[Date]],Raw_Data[[Date]:[Sunset Time (POA&lt;20 W/m2)]],4,0),"")</f>
        <v>0.76875000000000004</v>
      </c>
      <c r="K1710" s="35">
        <f>IFERROR((TA[[#This Row],[Sunset Time (POA&lt;20 W/m2)]]-TA[[#This Row],[Sunrise Time (POA&gt;20 W/m2)]])*24,"")</f>
        <v>12.283333333333335</v>
      </c>
      <c r="L1710" s="2" t="s">
        <v>294</v>
      </c>
      <c r="M1710" s="42">
        <f>IFERROR(VLOOKUP(TA[[#This Row],[Affected Equipment]],'Basic Data'!$I$2:$K$40,3,0),"")</f>
        <v>1.7241379310344799E-3</v>
      </c>
      <c r="N1710">
        <v>-28</v>
      </c>
      <c r="O1710" t="s">
        <v>133</v>
      </c>
      <c r="P1710" s="127" t="s">
        <v>316</v>
      </c>
      <c r="Q1710" s="126" t="s">
        <v>317</v>
      </c>
      <c r="R1710">
        <v>7</v>
      </c>
      <c r="S1710" s="2">
        <v>32</v>
      </c>
      <c r="T1710" t="s">
        <v>295</v>
      </c>
      <c r="U1710" t="s">
        <v>300</v>
      </c>
      <c r="V1710" t="s">
        <v>298</v>
      </c>
      <c r="W1710" s="41"/>
      <c r="X1710" s="41"/>
      <c r="Y1710" s="34"/>
      <c r="Z1710" s="34"/>
      <c r="AA1710" s="35">
        <f>IF(TA[[#This Row],[Work Start time on Fault]]="NA","",(TA[[#This Row],[Fault Acknowledgement Time ]]-TA[[#This Row],[Fault Time]])*24)</f>
        <v>0</v>
      </c>
      <c r="AB1710" s="35">
        <f>(TA[[#This Row],[Work Start time on Fault]]-TA[[#This Row],[Fault Time]])*24</f>
        <v>0</v>
      </c>
      <c r="AC1710" s="34">
        <f>(TA[[#This Row],[Work Completion time on fault]]-TA[[#This Row],[Fault Time]])*24</f>
        <v>0</v>
      </c>
      <c r="AD1710" s="35">
        <f>IFERROR((TA[[#This Row],[Work Completion time on fault]]-TA[[#This Row],[Fault Time]])*24,"")</f>
        <v>0</v>
      </c>
      <c r="AE1710" t="s">
        <v>328</v>
      </c>
      <c r="AF1710" t="s">
        <v>256</v>
      </c>
      <c r="AG1710" s="2"/>
      <c r="AH1710" s="44">
        <f>1-COS(RADIANS(TA[[#This Row],[Avg. Target Angle during Fault Time (Radians)]]-TA[[#This Row],[Angle of affected equipment ]]))</f>
        <v>0.11705240714107301</v>
      </c>
      <c r="AI1710" s="35">
        <f>IFERROR(TA[[#This Row],[Breakdown Time]]*TA[[#This Row],[Plant Equivalent Weightage]],"")</f>
        <v>0</v>
      </c>
    </row>
    <row r="1711" spans="1:35">
      <c r="A1711" s="2">
        <f t="shared" si="218"/>
        <v>1708</v>
      </c>
      <c r="B1711" s="156">
        <f t="shared" si="216"/>
        <v>2026</v>
      </c>
      <c r="C1711" s="129">
        <f t="shared" si="217"/>
        <v>2025</v>
      </c>
      <c r="D1711" s="2" t="s">
        <v>155</v>
      </c>
      <c r="E1711" s="2" t="s">
        <v>155</v>
      </c>
      <c r="F1711" s="39">
        <v>45839</v>
      </c>
      <c r="G1711" s="2">
        <f>DAY(EOMONTH(TA[[#This Row],[Month Year]],0))</f>
        <v>31</v>
      </c>
      <c r="H1711" s="21">
        <v>45868</v>
      </c>
      <c r="I1711" s="41">
        <f>IFERROR(VLOOKUP(TA[[#This Row],[Date]],Raw_Data[[Date]:[Sunset Time (POA&lt;20 W/m2)]],3,0),"")</f>
        <v>0.25694444444444442</v>
      </c>
      <c r="J1711" s="41">
        <f>IFERROR(VLOOKUP(TA[[#This Row],[Date]],Raw_Data[[Date]:[Sunset Time (POA&lt;20 W/m2)]],4,0),"")</f>
        <v>0.76875000000000004</v>
      </c>
      <c r="K1711" s="35">
        <f>IFERROR((TA[[#This Row],[Sunset Time (POA&lt;20 W/m2)]]-TA[[#This Row],[Sunrise Time (POA&gt;20 W/m2)]])*24,"")</f>
        <v>12.283333333333335</v>
      </c>
      <c r="L1711" s="2" t="s">
        <v>294</v>
      </c>
      <c r="M1711" s="42">
        <f>IFERROR(VLOOKUP(TA[[#This Row],[Affected Equipment]],'Basic Data'!$I$2:$K$40,3,0),"")</f>
        <v>1.7241379310344799E-3</v>
      </c>
      <c r="N1711">
        <v>-28</v>
      </c>
      <c r="O1711" t="s">
        <v>137</v>
      </c>
      <c r="P1711" s="127" t="s">
        <v>315</v>
      </c>
      <c r="Q1711" s="126" t="s">
        <v>319</v>
      </c>
      <c r="R1711">
        <v>166</v>
      </c>
      <c r="S1711" s="2">
        <v>91</v>
      </c>
      <c r="T1711" t="s">
        <v>295</v>
      </c>
      <c r="U1711" t="s">
        <v>300</v>
      </c>
      <c r="V1711" t="s">
        <v>298</v>
      </c>
      <c r="W1711" s="41"/>
      <c r="X1711" s="41"/>
      <c r="Y1711" s="34"/>
      <c r="Z1711" s="34"/>
      <c r="AA1711" s="35">
        <f>IF(TA[[#This Row],[Work Start time on Fault]]="NA","",(TA[[#This Row],[Fault Acknowledgement Time ]]-TA[[#This Row],[Fault Time]])*24)</f>
        <v>0</v>
      </c>
      <c r="AB1711" s="35">
        <f>(TA[[#This Row],[Work Start time on Fault]]-TA[[#This Row],[Fault Time]])*24</f>
        <v>0</v>
      </c>
      <c r="AC1711" s="34">
        <f>(TA[[#This Row],[Work Completion time on fault]]-TA[[#This Row],[Fault Time]])*24</f>
        <v>0</v>
      </c>
      <c r="AD1711" s="35">
        <f>IFERROR((TA[[#This Row],[Work Completion time on fault]]-TA[[#This Row],[Fault Time]])*24,"")</f>
        <v>0</v>
      </c>
      <c r="AE1711" t="s">
        <v>328</v>
      </c>
      <c r="AF1711" t="s">
        <v>256</v>
      </c>
      <c r="AG1711" s="2"/>
      <c r="AH1711" s="44">
        <f>1-COS(RADIANS(TA[[#This Row],[Avg. Target Angle during Fault Time (Radians)]]-TA[[#This Row],[Angle of affected equipment ]]))</f>
        <v>0.11705240714107301</v>
      </c>
      <c r="AI1711" s="35">
        <f>IFERROR(TA[[#This Row],[Breakdown Time]]*TA[[#This Row],[Plant Equivalent Weightage]],"")</f>
        <v>0</v>
      </c>
    </row>
    <row r="1712" spans="1:35">
      <c r="A1712" s="2">
        <f t="shared" si="218"/>
        <v>1709</v>
      </c>
      <c r="B1712" s="156">
        <f t="shared" si="216"/>
        <v>2026</v>
      </c>
      <c r="C1712" s="129">
        <f t="shared" si="217"/>
        <v>2025</v>
      </c>
      <c r="D1712" s="2" t="s">
        <v>155</v>
      </c>
      <c r="E1712" s="2" t="s">
        <v>155</v>
      </c>
      <c r="F1712" s="39">
        <v>45839</v>
      </c>
      <c r="G1712" s="2">
        <f>DAY(EOMONTH(TA[[#This Row],[Month Year]],0))</f>
        <v>31</v>
      </c>
      <c r="H1712" s="21">
        <v>45868</v>
      </c>
      <c r="I1712" s="41">
        <f>IFERROR(VLOOKUP(TA[[#This Row],[Date]],Raw_Data[[Date]:[Sunset Time (POA&lt;20 W/m2)]],3,0),"")</f>
        <v>0.25694444444444442</v>
      </c>
      <c r="J1712" s="41">
        <f>IFERROR(VLOOKUP(TA[[#This Row],[Date]],Raw_Data[[Date]:[Sunset Time (POA&lt;20 W/m2)]],4,0),"")</f>
        <v>0.76875000000000004</v>
      </c>
      <c r="K1712" s="35">
        <f>IFERROR((TA[[#This Row],[Sunset Time (POA&lt;20 W/m2)]]-TA[[#This Row],[Sunrise Time (POA&gt;20 W/m2)]])*24,"")</f>
        <v>12.283333333333335</v>
      </c>
      <c r="L1712" s="2" t="s">
        <v>294</v>
      </c>
      <c r="M1712" s="42">
        <f>IFERROR(VLOOKUP(TA[[#This Row],[Affected Equipment]],'Basic Data'!$I$2:$K$40,3,0),"")</f>
        <v>1.7241379310344799E-3</v>
      </c>
      <c r="N1712">
        <v>-28</v>
      </c>
      <c r="O1712" t="s">
        <v>133</v>
      </c>
      <c r="P1712" s="127" t="s">
        <v>316</v>
      </c>
      <c r="Q1712" s="126" t="s">
        <v>316</v>
      </c>
      <c r="R1712">
        <v>117</v>
      </c>
      <c r="S1712" s="2">
        <v>20</v>
      </c>
      <c r="T1712" t="s">
        <v>295</v>
      </c>
      <c r="U1712" t="s">
        <v>300</v>
      </c>
      <c r="V1712" t="s">
        <v>298</v>
      </c>
      <c r="W1712" s="41"/>
      <c r="X1712" s="41"/>
      <c r="Y1712" s="34"/>
      <c r="Z1712" s="34"/>
      <c r="AA1712" s="35">
        <f>IF(TA[[#This Row],[Work Start time on Fault]]="NA","",(TA[[#This Row],[Fault Acknowledgement Time ]]-TA[[#This Row],[Fault Time]])*24)</f>
        <v>0</v>
      </c>
      <c r="AB1712" s="35">
        <f>(TA[[#This Row],[Work Start time on Fault]]-TA[[#This Row],[Fault Time]])*24</f>
        <v>0</v>
      </c>
      <c r="AC1712" s="34">
        <f>(TA[[#This Row],[Work Completion time on fault]]-TA[[#This Row],[Fault Time]])*24</f>
        <v>0</v>
      </c>
      <c r="AD1712" s="35">
        <f>IFERROR((TA[[#This Row],[Work Completion time on fault]]-TA[[#This Row],[Fault Time]])*24,"")</f>
        <v>0</v>
      </c>
      <c r="AE1712" t="s">
        <v>328</v>
      </c>
      <c r="AF1712" t="s">
        <v>256</v>
      </c>
      <c r="AG1712" s="2"/>
      <c r="AH1712" s="44">
        <f>1-COS(RADIANS(TA[[#This Row],[Avg. Target Angle during Fault Time (Radians)]]-TA[[#This Row],[Angle of affected equipment ]]))</f>
        <v>0.11705240714107301</v>
      </c>
      <c r="AI1712" s="35">
        <f>IFERROR(TA[[#This Row],[Breakdown Time]]*TA[[#This Row],[Plant Equivalent Weightage]],"")</f>
        <v>0</v>
      </c>
    </row>
    <row r="1713" spans="1:35">
      <c r="A1713" s="2">
        <f t="shared" si="218"/>
        <v>1710</v>
      </c>
      <c r="B1713" s="156">
        <f t="shared" si="216"/>
        <v>2026</v>
      </c>
      <c r="C1713" s="129">
        <f t="shared" si="217"/>
        <v>2025</v>
      </c>
      <c r="D1713" s="2" t="s">
        <v>155</v>
      </c>
      <c r="E1713" s="2" t="s">
        <v>155</v>
      </c>
      <c r="F1713" s="39">
        <v>45839</v>
      </c>
      <c r="G1713" s="2">
        <f>DAY(EOMONTH(TA[[#This Row],[Month Year]],0))</f>
        <v>31</v>
      </c>
      <c r="H1713" s="21">
        <v>45868</v>
      </c>
      <c r="I1713" s="41">
        <f>IFERROR(VLOOKUP(TA[[#This Row],[Date]],Raw_Data[[Date]:[Sunset Time (POA&lt;20 W/m2)]],3,0),"")</f>
        <v>0.25694444444444442</v>
      </c>
      <c r="J1713" s="41">
        <f>IFERROR(VLOOKUP(TA[[#This Row],[Date]],Raw_Data[[Date]:[Sunset Time (POA&lt;20 W/m2)]],4,0),"")</f>
        <v>0.76875000000000004</v>
      </c>
      <c r="K1713" s="35">
        <f>IFERROR((TA[[#This Row],[Sunset Time (POA&lt;20 W/m2)]]-TA[[#This Row],[Sunrise Time (POA&gt;20 W/m2)]])*24,"")</f>
        <v>12.283333333333335</v>
      </c>
      <c r="L1713" s="2" t="s">
        <v>294</v>
      </c>
      <c r="M1713" s="42">
        <f>IFERROR(VLOOKUP(TA[[#This Row],[Affected Equipment]],'Basic Data'!$I$2:$K$40,3,0),"")</f>
        <v>1.7241379310344799E-3</v>
      </c>
      <c r="N1713">
        <v>-28</v>
      </c>
      <c r="O1713" t="s">
        <v>133</v>
      </c>
      <c r="P1713" s="127" t="s">
        <v>316</v>
      </c>
      <c r="Q1713" s="126" t="s">
        <v>316</v>
      </c>
      <c r="R1713">
        <v>118</v>
      </c>
      <c r="S1713" s="2">
        <v>22</v>
      </c>
      <c r="T1713" t="s">
        <v>295</v>
      </c>
      <c r="U1713" t="s">
        <v>300</v>
      </c>
      <c r="V1713" t="s">
        <v>298</v>
      </c>
      <c r="W1713" s="41"/>
      <c r="X1713" s="41"/>
      <c r="Y1713" s="34"/>
      <c r="Z1713" s="34"/>
      <c r="AA1713" s="35">
        <f>IF(TA[[#This Row],[Work Start time on Fault]]="NA","",(TA[[#This Row],[Fault Acknowledgement Time ]]-TA[[#This Row],[Fault Time]])*24)</f>
        <v>0</v>
      </c>
      <c r="AB1713" s="35">
        <f>(TA[[#This Row],[Work Start time on Fault]]-TA[[#This Row],[Fault Time]])*24</f>
        <v>0</v>
      </c>
      <c r="AC1713" s="34">
        <f>(TA[[#This Row],[Work Completion time on fault]]-TA[[#This Row],[Fault Time]])*24</f>
        <v>0</v>
      </c>
      <c r="AD1713" s="35">
        <f>IFERROR((TA[[#This Row],[Work Completion time on fault]]-TA[[#This Row],[Fault Time]])*24,"")</f>
        <v>0</v>
      </c>
      <c r="AE1713" t="s">
        <v>328</v>
      </c>
      <c r="AF1713" t="s">
        <v>256</v>
      </c>
      <c r="AG1713" s="2"/>
      <c r="AH1713" s="44">
        <f>1-COS(RADIANS(TA[[#This Row],[Avg. Target Angle during Fault Time (Radians)]]-TA[[#This Row],[Angle of affected equipment ]]))</f>
        <v>0.11705240714107301</v>
      </c>
      <c r="AI1713" s="35">
        <f>IFERROR(TA[[#This Row],[Breakdown Time]]*TA[[#This Row],[Plant Equivalent Weightage]],"")</f>
        <v>0</v>
      </c>
    </row>
    <row r="1714" spans="1:35">
      <c r="A1714" s="2">
        <f t="shared" si="218"/>
        <v>1711</v>
      </c>
      <c r="B1714" s="156">
        <f t="shared" si="216"/>
        <v>2026</v>
      </c>
      <c r="C1714" s="129">
        <f t="shared" si="217"/>
        <v>2025</v>
      </c>
      <c r="D1714" s="2" t="s">
        <v>155</v>
      </c>
      <c r="E1714" s="2" t="s">
        <v>155</v>
      </c>
      <c r="F1714" s="39">
        <v>45839</v>
      </c>
      <c r="G1714" s="2">
        <f>DAY(EOMONTH(TA[[#This Row],[Month Year]],0))</f>
        <v>31</v>
      </c>
      <c r="H1714" s="21">
        <v>45868</v>
      </c>
      <c r="I1714" s="41">
        <f>IFERROR(VLOOKUP(TA[[#This Row],[Date]],Raw_Data[[Date]:[Sunset Time (POA&lt;20 W/m2)]],3,0),"")</f>
        <v>0.25694444444444442</v>
      </c>
      <c r="J1714" s="41">
        <f>IFERROR(VLOOKUP(TA[[#This Row],[Date]],Raw_Data[[Date]:[Sunset Time (POA&lt;20 W/m2)]],4,0),"")</f>
        <v>0.76875000000000004</v>
      </c>
      <c r="K1714" s="35">
        <f>IFERROR((TA[[#This Row],[Sunset Time (POA&lt;20 W/m2)]]-TA[[#This Row],[Sunrise Time (POA&gt;20 W/m2)]])*24,"")</f>
        <v>12.283333333333335</v>
      </c>
      <c r="L1714" s="2" t="s">
        <v>296</v>
      </c>
      <c r="M1714" s="42">
        <f>IFERROR(VLOOKUP(TA[[#This Row],[Affected Equipment]],'Basic Data'!$I$2:$K$40,3,0),"")</f>
        <v>8.6206896551724102E-3</v>
      </c>
      <c r="N1714">
        <v>-28</v>
      </c>
      <c r="O1714" t="s">
        <v>135</v>
      </c>
      <c r="P1714" s="22" t="s">
        <v>323</v>
      </c>
      <c r="Q1714" s="2" t="s">
        <v>329</v>
      </c>
      <c r="R1714">
        <v>45</v>
      </c>
      <c r="S1714" s="2">
        <v>8</v>
      </c>
      <c r="T1714" t="s">
        <v>297</v>
      </c>
      <c r="U1714" t="s">
        <v>300</v>
      </c>
      <c r="V1714" t="s">
        <v>301</v>
      </c>
      <c r="W1714" s="41"/>
      <c r="X1714" s="41"/>
      <c r="Y1714" s="34"/>
      <c r="Z1714" s="34"/>
      <c r="AA1714" s="35">
        <f>IF(TA[[#This Row],[Work Start time on Fault]]="NA","",(TA[[#This Row],[Fault Acknowledgement Time ]]-TA[[#This Row],[Fault Time]])*24)</f>
        <v>0</v>
      </c>
      <c r="AB1714" s="35">
        <f>(TA[[#This Row],[Work Start time on Fault]]-TA[[#This Row],[Fault Time]])*24</f>
        <v>0</v>
      </c>
      <c r="AC1714" s="34">
        <f>(TA[[#This Row],[Work Completion time on fault]]-TA[[#This Row],[Fault Time]])*24</f>
        <v>0</v>
      </c>
      <c r="AD1714" s="35">
        <f>IFERROR((TA[[#This Row],[Work Completion time on fault]]-TA[[#This Row],[Fault Time]])*24,"")</f>
        <v>0</v>
      </c>
      <c r="AE1714" t="s">
        <v>328</v>
      </c>
      <c r="AF1714" t="s">
        <v>256</v>
      </c>
      <c r="AG1714" s="2"/>
      <c r="AH1714" s="44">
        <f>1-COS(RADIANS(TA[[#This Row],[Avg. Target Angle during Fault Time (Radians)]]-TA[[#This Row],[Angle of affected equipment ]]))</f>
        <v>0.11705240714107301</v>
      </c>
      <c r="AI1714" s="35">
        <f>IFERROR(TA[[#This Row],[Breakdown Time]]*TA[[#This Row],[Plant Equivalent Weightage]],"")</f>
        <v>0</v>
      </c>
    </row>
    <row r="1715" spans="1:35">
      <c r="A1715" s="2">
        <f t="shared" si="218"/>
        <v>1712</v>
      </c>
      <c r="B1715" s="156">
        <f t="shared" si="216"/>
        <v>2026</v>
      </c>
      <c r="C1715" s="129">
        <f t="shared" si="217"/>
        <v>2025</v>
      </c>
      <c r="D1715" s="2" t="s">
        <v>155</v>
      </c>
      <c r="E1715" s="2" t="s">
        <v>155</v>
      </c>
      <c r="F1715" s="39">
        <v>45839</v>
      </c>
      <c r="G1715" s="2">
        <f>DAY(EOMONTH(TA[[#This Row],[Month Year]],0))</f>
        <v>31</v>
      </c>
      <c r="H1715" s="21">
        <v>45868</v>
      </c>
      <c r="I1715" s="41">
        <f>IFERROR(VLOOKUP(TA[[#This Row],[Date]],Raw_Data[[Date]:[Sunset Time (POA&lt;20 W/m2)]],3,0),"")</f>
        <v>0.25694444444444442</v>
      </c>
      <c r="J1715" s="41">
        <f>IFERROR(VLOOKUP(TA[[#This Row],[Date]],Raw_Data[[Date]:[Sunset Time (POA&lt;20 W/m2)]],4,0),"")</f>
        <v>0.76875000000000004</v>
      </c>
      <c r="K1715" s="35">
        <f>IFERROR((TA[[#This Row],[Sunset Time (POA&lt;20 W/m2)]]-TA[[#This Row],[Sunrise Time (POA&gt;20 W/m2)]])*24,"")</f>
        <v>12.283333333333335</v>
      </c>
      <c r="L1715" s="2" t="s">
        <v>296</v>
      </c>
      <c r="M1715" s="42">
        <f>IFERROR(VLOOKUP(TA[[#This Row],[Affected Equipment]],'Basic Data'!$I$2:$K$40,3,0),"")</f>
        <v>8.6206896551724102E-3</v>
      </c>
      <c r="N1715">
        <v>-28</v>
      </c>
      <c r="O1715" t="s">
        <v>135</v>
      </c>
      <c r="P1715" s="22" t="s">
        <v>323</v>
      </c>
      <c r="Q1715" s="2" t="s">
        <v>329</v>
      </c>
      <c r="R1715">
        <v>47</v>
      </c>
      <c r="S1715" s="2">
        <v>18</v>
      </c>
      <c r="T1715" t="s">
        <v>297</v>
      </c>
      <c r="U1715" t="s">
        <v>300</v>
      </c>
      <c r="V1715" t="s">
        <v>301</v>
      </c>
      <c r="W1715" s="41"/>
      <c r="X1715" s="41"/>
      <c r="Y1715" s="34"/>
      <c r="Z1715" s="34"/>
      <c r="AA1715" s="35">
        <f>IF(TA[[#This Row],[Work Start time on Fault]]="NA","",(TA[[#This Row],[Fault Acknowledgement Time ]]-TA[[#This Row],[Fault Time]])*24)</f>
        <v>0</v>
      </c>
      <c r="AB1715" s="35">
        <f>(TA[[#This Row],[Work Start time on Fault]]-TA[[#This Row],[Fault Time]])*24</f>
        <v>0</v>
      </c>
      <c r="AC1715" s="34">
        <f>(TA[[#This Row],[Work Completion time on fault]]-TA[[#This Row],[Fault Time]])*24</f>
        <v>0</v>
      </c>
      <c r="AD1715" s="35">
        <f>IFERROR((TA[[#This Row],[Work Completion time on fault]]-TA[[#This Row],[Fault Time]])*24,"")</f>
        <v>0</v>
      </c>
      <c r="AE1715" t="s">
        <v>328</v>
      </c>
      <c r="AF1715" t="s">
        <v>256</v>
      </c>
      <c r="AG1715" s="2"/>
      <c r="AH1715" s="44">
        <f>1-COS(RADIANS(TA[[#This Row],[Avg. Target Angle during Fault Time (Radians)]]-TA[[#This Row],[Angle of affected equipment ]]))</f>
        <v>0.11705240714107301</v>
      </c>
      <c r="AI1715" s="35">
        <f>IFERROR(TA[[#This Row],[Breakdown Time]]*TA[[#This Row],[Plant Equivalent Weightage]],"")</f>
        <v>0</v>
      </c>
    </row>
    <row r="1716" spans="1:35">
      <c r="A1716" s="2">
        <f t="shared" si="218"/>
        <v>1713</v>
      </c>
      <c r="B1716" s="156">
        <f t="shared" si="216"/>
        <v>2026</v>
      </c>
      <c r="C1716" s="129">
        <f t="shared" si="217"/>
        <v>2025</v>
      </c>
      <c r="D1716" s="2" t="s">
        <v>155</v>
      </c>
      <c r="E1716" s="2" t="s">
        <v>155</v>
      </c>
      <c r="F1716" s="39">
        <v>45839</v>
      </c>
      <c r="G1716" s="2">
        <f>DAY(EOMONTH(TA[[#This Row],[Month Year]],0))</f>
        <v>31</v>
      </c>
      <c r="H1716" s="21">
        <v>45868</v>
      </c>
      <c r="I1716" s="41">
        <f>IFERROR(VLOOKUP(TA[[#This Row],[Date]],Raw_Data[[Date]:[Sunset Time (POA&lt;20 W/m2)]],3,0),"")</f>
        <v>0.25694444444444442</v>
      </c>
      <c r="J1716" s="41">
        <f>IFERROR(VLOOKUP(TA[[#This Row],[Date]],Raw_Data[[Date]:[Sunset Time (POA&lt;20 W/m2)]],4,0),"")</f>
        <v>0.76875000000000004</v>
      </c>
      <c r="K1716" s="35">
        <f>IFERROR((TA[[#This Row],[Sunset Time (POA&lt;20 W/m2)]]-TA[[#This Row],[Sunrise Time (POA&gt;20 W/m2)]])*24,"")</f>
        <v>12.283333333333335</v>
      </c>
      <c r="L1716" s="2" t="s">
        <v>296</v>
      </c>
      <c r="M1716" s="42">
        <f>IFERROR(VLOOKUP(TA[[#This Row],[Affected Equipment]],'Basic Data'!$I$2:$K$40,3,0),"")</f>
        <v>8.6206896551724102E-3</v>
      </c>
      <c r="N1716">
        <v>-28</v>
      </c>
      <c r="O1716" t="s">
        <v>134</v>
      </c>
      <c r="P1716" s="22" t="s">
        <v>330</v>
      </c>
      <c r="Q1716" s="2" t="s">
        <v>323</v>
      </c>
      <c r="R1716">
        <v>30</v>
      </c>
      <c r="S1716" s="2">
        <v>57</v>
      </c>
      <c r="T1716" t="s">
        <v>297</v>
      </c>
      <c r="U1716" t="s">
        <v>300</v>
      </c>
      <c r="V1716" t="s">
        <v>301</v>
      </c>
      <c r="W1716" s="41"/>
      <c r="X1716" s="41"/>
      <c r="Y1716" s="34"/>
      <c r="Z1716" s="34"/>
      <c r="AA1716" s="35">
        <f>IF(TA[[#This Row],[Work Start time on Fault]]="NA","",(TA[[#This Row],[Fault Acknowledgement Time ]]-TA[[#This Row],[Fault Time]])*24)</f>
        <v>0</v>
      </c>
      <c r="AB1716" s="35">
        <f>(TA[[#This Row],[Work Start time on Fault]]-TA[[#This Row],[Fault Time]])*24</f>
        <v>0</v>
      </c>
      <c r="AC1716" s="34">
        <f>(TA[[#This Row],[Work Completion time on fault]]-TA[[#This Row],[Fault Time]])*24</f>
        <v>0</v>
      </c>
      <c r="AD1716" s="35">
        <f>IFERROR((TA[[#This Row],[Work Completion time on fault]]-TA[[#This Row],[Fault Time]])*24,"")</f>
        <v>0</v>
      </c>
      <c r="AE1716" t="s">
        <v>328</v>
      </c>
      <c r="AF1716" t="s">
        <v>256</v>
      </c>
      <c r="AG1716" s="2"/>
      <c r="AH1716" s="44">
        <f>1-COS(RADIANS(TA[[#This Row],[Avg. Target Angle during Fault Time (Radians)]]-TA[[#This Row],[Angle of affected equipment ]]))</f>
        <v>0.11705240714107301</v>
      </c>
      <c r="AI1716" s="35">
        <f>IFERROR(TA[[#This Row],[Breakdown Time]]*TA[[#This Row],[Plant Equivalent Weightage]],"")</f>
        <v>0</v>
      </c>
    </row>
    <row r="1717" spans="1:35">
      <c r="A1717" s="2">
        <f t="shared" si="218"/>
        <v>1714</v>
      </c>
      <c r="B1717" s="156">
        <f t="shared" si="216"/>
        <v>2026</v>
      </c>
      <c r="C1717" s="129">
        <f t="shared" si="217"/>
        <v>2025</v>
      </c>
      <c r="D1717" s="2" t="s">
        <v>155</v>
      </c>
      <c r="E1717" s="2" t="s">
        <v>155</v>
      </c>
      <c r="F1717" s="39">
        <v>45839</v>
      </c>
      <c r="G1717" s="2">
        <f>DAY(EOMONTH(TA[[#This Row],[Month Year]],0))</f>
        <v>31</v>
      </c>
      <c r="H1717" s="21">
        <v>45868</v>
      </c>
      <c r="I1717" s="41">
        <f>IFERROR(VLOOKUP(TA[[#This Row],[Date]],Raw_Data[[Date]:[Sunset Time (POA&lt;20 W/m2)]],3,0),"")</f>
        <v>0.25694444444444442</v>
      </c>
      <c r="J1717" s="41">
        <f>IFERROR(VLOOKUP(TA[[#This Row],[Date]],Raw_Data[[Date]:[Sunset Time (POA&lt;20 W/m2)]],4,0),"")</f>
        <v>0.76875000000000004</v>
      </c>
      <c r="K1717" s="35">
        <f>IFERROR((TA[[#This Row],[Sunset Time (POA&lt;20 W/m2)]]-TA[[#This Row],[Sunrise Time (POA&gt;20 W/m2)]])*24,"")</f>
        <v>12.283333333333335</v>
      </c>
      <c r="L1717" s="2" t="s">
        <v>296</v>
      </c>
      <c r="M1717" s="42">
        <f>IFERROR(VLOOKUP(TA[[#This Row],[Affected Equipment]],'Basic Data'!$I$2:$K$40,3,0),"")</f>
        <v>8.6206896551724102E-3</v>
      </c>
      <c r="N1717">
        <v>-28</v>
      </c>
      <c r="O1717" t="s">
        <v>134</v>
      </c>
      <c r="P1717" s="22" t="s">
        <v>330</v>
      </c>
      <c r="Q1717" s="2" t="s">
        <v>323</v>
      </c>
      <c r="R1717">
        <v>31</v>
      </c>
      <c r="S1717" s="2">
        <v>61</v>
      </c>
      <c r="T1717" t="s">
        <v>297</v>
      </c>
      <c r="U1717" t="s">
        <v>300</v>
      </c>
      <c r="V1717" t="s">
        <v>301</v>
      </c>
      <c r="W1717" s="41"/>
      <c r="X1717" s="41"/>
      <c r="Y1717" s="34"/>
      <c r="Z1717" s="34"/>
      <c r="AA1717" s="35">
        <f>IF(TA[[#This Row],[Work Start time on Fault]]="NA","",(TA[[#This Row],[Fault Acknowledgement Time ]]-TA[[#This Row],[Fault Time]])*24)</f>
        <v>0</v>
      </c>
      <c r="AB1717" s="35">
        <f>(TA[[#This Row],[Work Start time on Fault]]-TA[[#This Row],[Fault Time]])*24</f>
        <v>0</v>
      </c>
      <c r="AC1717" s="34">
        <f>(TA[[#This Row],[Work Completion time on fault]]-TA[[#This Row],[Fault Time]])*24</f>
        <v>0</v>
      </c>
      <c r="AD1717" s="35">
        <f>IFERROR((TA[[#This Row],[Work Completion time on fault]]-TA[[#This Row],[Fault Time]])*24,"")</f>
        <v>0</v>
      </c>
      <c r="AE1717" t="s">
        <v>328</v>
      </c>
      <c r="AF1717" t="s">
        <v>256</v>
      </c>
      <c r="AG1717" s="2"/>
      <c r="AH1717" s="44">
        <f>1-COS(RADIANS(TA[[#This Row],[Avg. Target Angle during Fault Time (Radians)]]-TA[[#This Row],[Angle of affected equipment ]]))</f>
        <v>0.11705240714107301</v>
      </c>
      <c r="AI1717" s="35">
        <f>IFERROR(TA[[#This Row],[Breakdown Time]]*TA[[#This Row],[Plant Equivalent Weightage]],"")</f>
        <v>0</v>
      </c>
    </row>
    <row r="1718" spans="1:35">
      <c r="A1718" s="2">
        <f t="shared" si="218"/>
        <v>1715</v>
      </c>
      <c r="B1718" s="156">
        <f t="shared" si="216"/>
        <v>2026</v>
      </c>
      <c r="C1718" s="129">
        <f t="shared" si="217"/>
        <v>2025</v>
      </c>
      <c r="D1718" s="2" t="s">
        <v>155</v>
      </c>
      <c r="E1718" s="2" t="s">
        <v>155</v>
      </c>
      <c r="F1718" s="39">
        <v>45839</v>
      </c>
      <c r="G1718" s="2">
        <f>DAY(EOMONTH(TA[[#This Row],[Month Year]],0))</f>
        <v>31</v>
      </c>
      <c r="H1718" s="21">
        <v>45868</v>
      </c>
      <c r="I1718" s="41">
        <f>IFERROR(VLOOKUP(TA[[#This Row],[Date]],Raw_Data[[Date]:[Sunset Time (POA&lt;20 W/m2)]],3,0),"")</f>
        <v>0.25694444444444442</v>
      </c>
      <c r="J1718" s="41">
        <f>IFERROR(VLOOKUP(TA[[#This Row],[Date]],Raw_Data[[Date]:[Sunset Time (POA&lt;20 W/m2)]],4,0),"")</f>
        <v>0.76875000000000004</v>
      </c>
      <c r="K1718" s="35">
        <f>IFERROR((TA[[#This Row],[Sunset Time (POA&lt;20 W/m2)]]-TA[[#This Row],[Sunrise Time (POA&gt;20 W/m2)]])*24,"")</f>
        <v>12.283333333333335</v>
      </c>
      <c r="L1718" s="2" t="s">
        <v>312</v>
      </c>
      <c r="M1718" s="42">
        <f>IFERROR(VLOOKUP(TA[[#This Row],[Affected Equipment]],'Basic Data'!$I$2:$K$40,3,0),"")</f>
        <v>5.74712643678161E-3</v>
      </c>
      <c r="N1718">
        <v>-28</v>
      </c>
      <c r="O1718" t="s">
        <v>133</v>
      </c>
      <c r="P1718" s="22" t="s">
        <v>330</v>
      </c>
      <c r="Q1718" s="2" t="s">
        <v>323</v>
      </c>
      <c r="R1718">
        <v>26</v>
      </c>
      <c r="S1718" s="2">
        <v>37</v>
      </c>
      <c r="T1718" t="s">
        <v>297</v>
      </c>
      <c r="U1718" t="s">
        <v>300</v>
      </c>
      <c r="V1718" t="s">
        <v>301</v>
      </c>
      <c r="W1718" s="41"/>
      <c r="X1718" s="41"/>
      <c r="Y1718" s="34"/>
      <c r="Z1718" s="34"/>
      <c r="AA1718" s="35">
        <f>IF(TA[[#This Row],[Work Start time on Fault]]="NA","",(TA[[#This Row],[Fault Acknowledgement Time ]]-TA[[#This Row],[Fault Time]])*24)</f>
        <v>0</v>
      </c>
      <c r="AB1718" s="35">
        <f>(TA[[#This Row],[Work Start time on Fault]]-TA[[#This Row],[Fault Time]])*24</f>
        <v>0</v>
      </c>
      <c r="AC1718" s="34">
        <f>(TA[[#This Row],[Work Completion time on fault]]-TA[[#This Row],[Fault Time]])*24</f>
        <v>0</v>
      </c>
      <c r="AD1718" s="35">
        <f>IFERROR((TA[[#This Row],[Work Completion time on fault]]-TA[[#This Row],[Fault Time]])*24,"")</f>
        <v>0</v>
      </c>
      <c r="AE1718" t="s">
        <v>328</v>
      </c>
      <c r="AF1718" t="s">
        <v>256</v>
      </c>
      <c r="AG1718" s="2"/>
      <c r="AH1718" s="44">
        <f>1-COS(RADIANS(TA[[#This Row],[Avg. Target Angle during Fault Time (Radians)]]-TA[[#This Row],[Angle of affected equipment ]]))</f>
        <v>0.11705240714107301</v>
      </c>
      <c r="AI1718" s="35">
        <f>IFERROR(TA[[#This Row],[Breakdown Time]]*TA[[#This Row],[Plant Equivalent Weightage]],"")</f>
        <v>0</v>
      </c>
    </row>
    <row r="1719" spans="1:35">
      <c r="A1719" s="2">
        <f t="shared" si="218"/>
        <v>1716</v>
      </c>
      <c r="B1719" s="156">
        <f t="shared" si="216"/>
        <v>2026</v>
      </c>
      <c r="C1719" s="129">
        <f t="shared" si="217"/>
        <v>2025</v>
      </c>
      <c r="D1719" s="2" t="s">
        <v>155</v>
      </c>
      <c r="E1719" s="2" t="s">
        <v>155</v>
      </c>
      <c r="F1719" s="39">
        <v>45839</v>
      </c>
      <c r="G1719" s="2">
        <f>DAY(EOMONTH(TA[[#This Row],[Month Year]],0))</f>
        <v>31</v>
      </c>
      <c r="H1719" s="21">
        <v>45868</v>
      </c>
      <c r="I1719" s="41">
        <f>IFERROR(VLOOKUP(TA[[#This Row],[Date]],Raw_Data[[Date]:[Sunset Time (POA&lt;20 W/m2)]],3,0),"")</f>
        <v>0.25694444444444442</v>
      </c>
      <c r="J1719" s="41">
        <f>IFERROR(VLOOKUP(TA[[#This Row],[Date]],Raw_Data[[Date]:[Sunset Time (POA&lt;20 W/m2)]],4,0),"")</f>
        <v>0.76875000000000004</v>
      </c>
      <c r="K1719" s="35">
        <f>IFERROR((TA[[#This Row],[Sunset Time (POA&lt;20 W/m2)]]-TA[[#This Row],[Sunrise Time (POA&gt;20 W/m2)]])*24,"")</f>
        <v>12.283333333333335</v>
      </c>
      <c r="L1719" s="2" t="s">
        <v>312</v>
      </c>
      <c r="M1719" s="42">
        <f>IFERROR(VLOOKUP(TA[[#This Row],[Affected Equipment]],'Basic Data'!$I$2:$K$40,3,0),"")</f>
        <v>5.74712643678161E-3</v>
      </c>
      <c r="N1719">
        <v>-28</v>
      </c>
      <c r="O1719" t="s">
        <v>133</v>
      </c>
      <c r="P1719" s="22" t="s">
        <v>330</v>
      </c>
      <c r="Q1719" s="2" t="s">
        <v>323</v>
      </c>
      <c r="R1719">
        <v>27</v>
      </c>
      <c r="S1719" s="2">
        <v>42</v>
      </c>
      <c r="T1719" t="s">
        <v>297</v>
      </c>
      <c r="U1719" t="s">
        <v>300</v>
      </c>
      <c r="V1719" t="s">
        <v>301</v>
      </c>
      <c r="W1719" s="41">
        <f>IFERROR(VLOOKUP(TA[[#This Row],[Date]],Raw_Data[[Date]:[Sunset Time (POA&lt;20 W/m2)]],3,0),"")</f>
        <v>0.25694444444444442</v>
      </c>
      <c r="X1719" s="41">
        <f>IFERROR(VLOOKUP(TA[[#This Row],[Date]],Raw_Data[[Date]:[Sunset Time (POA&lt;20 W/m2)]],3,0),"")</f>
        <v>0.25694444444444442</v>
      </c>
      <c r="Y1719" s="34"/>
      <c r="Z1719" s="34">
        <v>0.76041666666666663</v>
      </c>
      <c r="AA1719" s="35">
        <f>IF(TA[[#This Row],[Work Start time on Fault]]="NA","",(TA[[#This Row],[Fault Acknowledgement Time ]]-TA[[#This Row],[Fault Time]])*24)</f>
        <v>0</v>
      </c>
      <c r="AB1719" s="35">
        <f>(TA[[#This Row],[Work Start time on Fault]]-TA[[#This Row],[Fault Time]])*24</f>
        <v>-6.1666666666666661</v>
      </c>
      <c r="AC1719" s="34">
        <f>(TA[[#This Row],[Work Completion time on fault]]-TA[[#This Row],[Fault Time]])*24</f>
        <v>12.083333333333332</v>
      </c>
      <c r="AD1719" s="35">
        <f>IFERROR((TA[[#This Row],[Work Completion time on fault]]-TA[[#This Row],[Fault Time]])*24,"")</f>
        <v>12.083333333333332</v>
      </c>
      <c r="AE1719" t="s">
        <v>309</v>
      </c>
      <c r="AF1719" t="s">
        <v>256</v>
      </c>
      <c r="AG1719" s="2"/>
      <c r="AH1719" s="44">
        <f>1-COS(RADIANS(TA[[#This Row],[Avg. Target Angle during Fault Time (Radians)]]-TA[[#This Row],[Angle of affected equipment ]]))</f>
        <v>0.11705240714107301</v>
      </c>
      <c r="AI1719" s="35">
        <f>IFERROR(TA[[#This Row],[Breakdown Time]]*TA[[#This Row],[Plant Equivalent Weightage]],"")</f>
        <v>6.9444444444444448E-2</v>
      </c>
    </row>
    <row r="1720" spans="1:35">
      <c r="A1720" s="2">
        <f t="shared" si="218"/>
        <v>1717</v>
      </c>
      <c r="B1720" s="156">
        <f t="shared" ref="B1720:B1732" si="219">YEAR(H1720)+IF(MONTH(H1720)&gt;=4,1,0)</f>
        <v>2026</v>
      </c>
      <c r="C1720" s="129">
        <f t="shared" ref="C1720:C1732" si="220">YEAR(H1720)</f>
        <v>2025</v>
      </c>
      <c r="D1720" s="2" t="s">
        <v>155</v>
      </c>
      <c r="E1720" s="2" t="s">
        <v>155</v>
      </c>
      <c r="F1720" s="39">
        <v>45839</v>
      </c>
      <c r="G1720" s="238">
        <f>DAY(EOMONTH(TA[[#This Row],[Month Year]],0))</f>
        <v>31</v>
      </c>
      <c r="H1720" s="21">
        <v>45869</v>
      </c>
      <c r="I1720" s="41">
        <f>IFERROR(VLOOKUP(TA[[#This Row],[Date]],Raw_Data[[Date]:[Sunset Time (POA&lt;20 W/m2)]],3,0),"")</f>
        <v>0.26250000000000001</v>
      </c>
      <c r="J1720" s="41">
        <f>IFERROR(VLOOKUP(TA[[#This Row],[Date]],Raw_Data[[Date]:[Sunset Time (POA&lt;20 W/m2)]],4,0),"")</f>
        <v>0.78055555555555556</v>
      </c>
      <c r="K1720" s="35">
        <f>IFERROR((TA[[#This Row],[Sunset Time (POA&lt;20 W/m2)]]-TA[[#This Row],[Sunrise Time (POA&gt;20 W/m2)]])*24,"")</f>
        <v>12.433333333333332</v>
      </c>
      <c r="L1720" s="2" t="s">
        <v>294</v>
      </c>
      <c r="M1720" s="42">
        <f>IFERROR(VLOOKUP(TA[[#This Row],[Affected Equipment]],'Basic Data'!$I$2:$K$40,3,0),"")</f>
        <v>1.7241379310344799E-3</v>
      </c>
      <c r="N1720">
        <v>-28</v>
      </c>
      <c r="O1720" t="s">
        <v>135</v>
      </c>
      <c r="P1720" s="127" t="s">
        <v>318</v>
      </c>
      <c r="Q1720" s="126" t="s">
        <v>318</v>
      </c>
      <c r="R1720">
        <v>131</v>
      </c>
      <c r="S1720" s="2">
        <v>38</v>
      </c>
      <c r="T1720" t="s">
        <v>295</v>
      </c>
      <c r="U1720" t="s">
        <v>300</v>
      </c>
      <c r="V1720" t="s">
        <v>298</v>
      </c>
      <c r="W1720" s="41"/>
      <c r="X1720" s="41"/>
      <c r="Y1720" s="34"/>
      <c r="Z1720" s="34"/>
      <c r="AA1720" s="35">
        <f>IF(TA[[#This Row],[Work Start time on Fault]]="NA","",(TA[[#This Row],[Fault Acknowledgement Time ]]-TA[[#This Row],[Fault Time]])*24)</f>
        <v>0</v>
      </c>
      <c r="AB1720" s="35">
        <f>(TA[[#This Row],[Work Start time on Fault]]-TA[[#This Row],[Fault Time]])*24</f>
        <v>0</v>
      </c>
      <c r="AC1720" s="34">
        <f>(TA[[#This Row],[Work Completion time on fault]]-TA[[#This Row],[Fault Time]])*24</f>
        <v>0</v>
      </c>
      <c r="AD1720" s="35">
        <f>IFERROR((TA[[#This Row],[Work Completion time on fault]]-TA[[#This Row],[Fault Time]])*24,"")</f>
        <v>0</v>
      </c>
      <c r="AE1720" t="s">
        <v>328</v>
      </c>
      <c r="AF1720" t="s">
        <v>256</v>
      </c>
      <c r="AG1720" s="2"/>
      <c r="AH1720" s="44">
        <f>1-COS(RADIANS(TA[[#This Row],[Avg. Target Angle during Fault Time (Radians)]]-TA[[#This Row],[Angle of affected equipment ]]))</f>
        <v>0.11705240714107301</v>
      </c>
      <c r="AI1720" s="35">
        <f>IFERROR(TA[[#This Row],[Breakdown Time]]*TA[[#This Row],[Plant Equivalent Weightage]],"")</f>
        <v>0</v>
      </c>
    </row>
    <row r="1721" spans="1:35">
      <c r="A1721" s="2">
        <f t="shared" si="218"/>
        <v>1718</v>
      </c>
      <c r="B1721" s="156">
        <f t="shared" si="219"/>
        <v>2026</v>
      </c>
      <c r="C1721" s="129">
        <f t="shared" si="220"/>
        <v>2025</v>
      </c>
      <c r="D1721" s="2" t="s">
        <v>155</v>
      </c>
      <c r="E1721" s="2" t="s">
        <v>155</v>
      </c>
      <c r="F1721" s="39">
        <v>45839</v>
      </c>
      <c r="G1721" s="238">
        <f>DAY(EOMONTH(TA[[#This Row],[Month Year]],0))</f>
        <v>31</v>
      </c>
      <c r="H1721" s="21">
        <v>45869</v>
      </c>
      <c r="I1721" s="41">
        <f>IFERROR(VLOOKUP(TA[[#This Row],[Date]],Raw_Data[[Date]:[Sunset Time (POA&lt;20 W/m2)]],3,0),"")</f>
        <v>0.26250000000000001</v>
      </c>
      <c r="J1721" s="41">
        <f>IFERROR(VLOOKUP(TA[[#This Row],[Date]],Raw_Data[[Date]:[Sunset Time (POA&lt;20 W/m2)]],4,0),"")</f>
        <v>0.78055555555555556</v>
      </c>
      <c r="K1721" s="35">
        <f>IFERROR((TA[[#This Row],[Sunset Time (POA&lt;20 W/m2)]]-TA[[#This Row],[Sunrise Time (POA&gt;20 W/m2)]])*24,"")</f>
        <v>12.433333333333332</v>
      </c>
      <c r="L1721" s="2" t="s">
        <v>294</v>
      </c>
      <c r="M1721" s="42">
        <f>IFERROR(VLOOKUP(TA[[#This Row],[Affected Equipment]],'Basic Data'!$I$2:$K$40,3,0),"")</f>
        <v>1.7241379310344799E-3</v>
      </c>
      <c r="N1721">
        <v>-28</v>
      </c>
      <c r="O1721" t="s">
        <v>135</v>
      </c>
      <c r="P1721" s="127" t="s">
        <v>318</v>
      </c>
      <c r="Q1721" s="126" t="s">
        <v>318</v>
      </c>
      <c r="R1721">
        <v>131</v>
      </c>
      <c r="S1721" s="2">
        <v>39</v>
      </c>
      <c r="T1721" t="s">
        <v>295</v>
      </c>
      <c r="U1721" t="s">
        <v>300</v>
      </c>
      <c r="V1721" t="s">
        <v>298</v>
      </c>
      <c r="W1721" s="41"/>
      <c r="X1721" s="41"/>
      <c r="Y1721" s="34"/>
      <c r="Z1721" s="34"/>
      <c r="AA1721" s="35">
        <f>IF(TA[[#This Row],[Work Start time on Fault]]="NA","",(TA[[#This Row],[Fault Acknowledgement Time ]]-TA[[#This Row],[Fault Time]])*24)</f>
        <v>0</v>
      </c>
      <c r="AB1721" s="35">
        <f>(TA[[#This Row],[Work Start time on Fault]]-TA[[#This Row],[Fault Time]])*24</f>
        <v>0</v>
      </c>
      <c r="AC1721" s="34">
        <f>(TA[[#This Row],[Work Completion time on fault]]-TA[[#This Row],[Fault Time]])*24</f>
        <v>0</v>
      </c>
      <c r="AD1721" s="35">
        <f>IFERROR((TA[[#This Row],[Work Completion time on fault]]-TA[[#This Row],[Fault Time]])*24,"")</f>
        <v>0</v>
      </c>
      <c r="AE1721" t="s">
        <v>328</v>
      </c>
      <c r="AF1721" t="s">
        <v>256</v>
      </c>
      <c r="AG1721" s="2"/>
      <c r="AH1721" s="44">
        <f>1-COS(RADIANS(TA[[#This Row],[Avg. Target Angle during Fault Time (Radians)]]-TA[[#This Row],[Angle of affected equipment ]]))</f>
        <v>0.11705240714107301</v>
      </c>
      <c r="AI1721" s="35">
        <f>IFERROR(TA[[#This Row],[Breakdown Time]]*TA[[#This Row],[Plant Equivalent Weightage]],"")</f>
        <v>0</v>
      </c>
    </row>
    <row r="1722" spans="1:35">
      <c r="A1722" s="2">
        <f t="shared" si="218"/>
        <v>1719</v>
      </c>
      <c r="B1722" s="156">
        <f t="shared" si="219"/>
        <v>2026</v>
      </c>
      <c r="C1722" s="129">
        <f t="shared" si="220"/>
        <v>2025</v>
      </c>
      <c r="D1722" s="2" t="s">
        <v>155</v>
      </c>
      <c r="E1722" s="2" t="s">
        <v>155</v>
      </c>
      <c r="F1722" s="39">
        <v>45839</v>
      </c>
      <c r="G1722" s="238">
        <f>DAY(EOMONTH(TA[[#This Row],[Month Year]],0))</f>
        <v>31</v>
      </c>
      <c r="H1722" s="21">
        <v>45869</v>
      </c>
      <c r="I1722" s="41">
        <f>IFERROR(VLOOKUP(TA[[#This Row],[Date]],Raw_Data[[Date]:[Sunset Time (POA&lt;20 W/m2)]],3,0),"")</f>
        <v>0.26250000000000001</v>
      </c>
      <c r="J1722" s="41">
        <f>IFERROR(VLOOKUP(TA[[#This Row],[Date]],Raw_Data[[Date]:[Sunset Time (POA&lt;20 W/m2)]],4,0),"")</f>
        <v>0.78055555555555556</v>
      </c>
      <c r="K1722" s="35">
        <f>IFERROR((TA[[#This Row],[Sunset Time (POA&lt;20 W/m2)]]-TA[[#This Row],[Sunrise Time (POA&gt;20 W/m2)]])*24,"")</f>
        <v>12.433333333333332</v>
      </c>
      <c r="L1722" s="2" t="s">
        <v>296</v>
      </c>
      <c r="M1722" s="42">
        <f>IFERROR(VLOOKUP(TA[[#This Row],[Affected Equipment]],'Basic Data'!$I$2:$K$40,3,0),"")</f>
        <v>8.6206896551724102E-3</v>
      </c>
      <c r="N1722">
        <v>-28</v>
      </c>
      <c r="O1722" t="s">
        <v>135</v>
      </c>
      <c r="P1722" s="127" t="s">
        <v>318</v>
      </c>
      <c r="Q1722" s="2" t="s">
        <v>321</v>
      </c>
      <c r="R1722">
        <v>133</v>
      </c>
      <c r="S1722" s="2">
        <v>26</v>
      </c>
      <c r="T1722" t="s">
        <v>297</v>
      </c>
      <c r="U1722" t="s">
        <v>300</v>
      </c>
      <c r="V1722" t="s">
        <v>314</v>
      </c>
      <c r="W1722" s="41">
        <f>IFERROR(VLOOKUP(TA[[#This Row],[Date]],Raw_Data[[Date]:[Sunset Time (POA&lt;20 W/m2)]],3,0),"")</f>
        <v>0.26250000000000001</v>
      </c>
      <c r="X1722" s="41">
        <f>IFERROR(VLOOKUP(TA[[#This Row],[Date]],Raw_Data[[Date]:[Sunset Time (POA&lt;20 W/m2)]],3,0),"")</f>
        <v>0.26250000000000001</v>
      </c>
      <c r="Y1722" s="34"/>
      <c r="Z1722" s="34">
        <v>0.76041666666666663</v>
      </c>
      <c r="AA1722" s="35">
        <f>IF(TA[[#This Row],[Work Start time on Fault]]="NA","",(TA[[#This Row],[Fault Acknowledgement Time ]]-TA[[#This Row],[Fault Time]])*24)</f>
        <v>0</v>
      </c>
      <c r="AB1722" s="35">
        <f>(TA[[#This Row],[Work Start time on Fault]]-TA[[#This Row],[Fault Time]])*24</f>
        <v>-6.3000000000000007</v>
      </c>
      <c r="AC1722" s="34">
        <f>(TA[[#This Row],[Work Completion time on fault]]-TA[[#This Row],[Fault Time]])*24</f>
        <v>11.95</v>
      </c>
      <c r="AD1722" s="35">
        <f>IFERROR((TA[[#This Row],[Work Completion time on fault]]-TA[[#This Row],[Fault Time]])*24,"")</f>
        <v>11.95</v>
      </c>
      <c r="AE1722" t="s">
        <v>328</v>
      </c>
      <c r="AF1722" t="s">
        <v>256</v>
      </c>
      <c r="AG1722" s="2"/>
      <c r="AH1722" s="44">
        <f>1-COS(RADIANS(TA[[#This Row],[Avg. Target Angle during Fault Time (Radians)]]-TA[[#This Row],[Angle of affected equipment ]]))</f>
        <v>0.11705240714107301</v>
      </c>
      <c r="AI1722" s="35">
        <f>IFERROR(TA[[#This Row],[Breakdown Time]]*TA[[#This Row],[Plant Equivalent Weightage]],"")</f>
        <v>0.1030172413793103</v>
      </c>
    </row>
    <row r="1723" spans="1:35">
      <c r="A1723" s="2">
        <f t="shared" si="218"/>
        <v>1720</v>
      </c>
      <c r="B1723" s="156">
        <f t="shared" si="219"/>
        <v>2026</v>
      </c>
      <c r="C1723" s="129">
        <f t="shared" si="220"/>
        <v>2025</v>
      </c>
      <c r="D1723" s="2" t="s">
        <v>155</v>
      </c>
      <c r="E1723" s="2" t="s">
        <v>155</v>
      </c>
      <c r="F1723" s="39">
        <v>45839</v>
      </c>
      <c r="G1723" s="238">
        <f>DAY(EOMONTH(TA[[#This Row],[Month Year]],0))</f>
        <v>31</v>
      </c>
      <c r="H1723" s="21">
        <v>45869</v>
      </c>
      <c r="I1723" s="41">
        <f>IFERROR(VLOOKUP(TA[[#This Row],[Date]],Raw_Data[[Date]:[Sunset Time (POA&lt;20 W/m2)]],3,0),"")</f>
        <v>0.26250000000000001</v>
      </c>
      <c r="J1723" s="41">
        <f>IFERROR(VLOOKUP(TA[[#This Row],[Date]],Raw_Data[[Date]:[Sunset Time (POA&lt;20 W/m2)]],4,0),"")</f>
        <v>0.78055555555555556</v>
      </c>
      <c r="K1723" s="35">
        <f>IFERROR((TA[[#This Row],[Sunset Time (POA&lt;20 W/m2)]]-TA[[#This Row],[Sunrise Time (POA&gt;20 W/m2)]])*24,"")</f>
        <v>12.433333333333332</v>
      </c>
      <c r="L1723" s="2" t="s">
        <v>294</v>
      </c>
      <c r="M1723" s="42">
        <f>IFERROR(VLOOKUP(TA[[#This Row],[Affected Equipment]],'Basic Data'!$I$2:$K$40,3,0),"")</f>
        <v>1.7241379310344799E-3</v>
      </c>
      <c r="N1723">
        <v>-28</v>
      </c>
      <c r="O1723" t="s">
        <v>133</v>
      </c>
      <c r="P1723" s="127" t="s">
        <v>316</v>
      </c>
      <c r="Q1723" s="126" t="s">
        <v>317</v>
      </c>
      <c r="R1723">
        <v>7</v>
      </c>
      <c r="S1723" s="2">
        <v>32</v>
      </c>
      <c r="T1723" t="s">
        <v>295</v>
      </c>
      <c r="U1723" t="s">
        <v>300</v>
      </c>
      <c r="V1723" t="s">
        <v>298</v>
      </c>
      <c r="W1723" s="41"/>
      <c r="X1723" s="41"/>
      <c r="Y1723" s="34"/>
      <c r="Z1723" s="34"/>
      <c r="AA1723" s="35">
        <f>IF(TA[[#This Row],[Work Start time on Fault]]="NA","",(TA[[#This Row],[Fault Acknowledgement Time ]]-TA[[#This Row],[Fault Time]])*24)</f>
        <v>0</v>
      </c>
      <c r="AB1723" s="35">
        <f>(TA[[#This Row],[Work Start time on Fault]]-TA[[#This Row],[Fault Time]])*24</f>
        <v>0</v>
      </c>
      <c r="AC1723" s="34">
        <f>(TA[[#This Row],[Work Completion time on fault]]-TA[[#This Row],[Fault Time]])*24</f>
        <v>0</v>
      </c>
      <c r="AD1723" s="35">
        <f>IFERROR((TA[[#This Row],[Work Completion time on fault]]-TA[[#This Row],[Fault Time]])*24,"")</f>
        <v>0</v>
      </c>
      <c r="AE1723" t="s">
        <v>328</v>
      </c>
      <c r="AF1723" t="s">
        <v>256</v>
      </c>
      <c r="AG1723" s="2"/>
      <c r="AH1723" s="44">
        <f>1-COS(RADIANS(TA[[#This Row],[Avg. Target Angle during Fault Time (Radians)]]-TA[[#This Row],[Angle of affected equipment ]]))</f>
        <v>0.11705240714107301</v>
      </c>
      <c r="AI1723" s="35">
        <f>IFERROR(TA[[#This Row],[Breakdown Time]]*TA[[#This Row],[Plant Equivalent Weightage]],"")</f>
        <v>0</v>
      </c>
    </row>
    <row r="1724" spans="1:35">
      <c r="A1724" s="2">
        <f t="shared" si="218"/>
        <v>1721</v>
      </c>
      <c r="B1724" s="156">
        <f t="shared" si="219"/>
        <v>2026</v>
      </c>
      <c r="C1724" s="129">
        <f t="shared" si="220"/>
        <v>2025</v>
      </c>
      <c r="D1724" s="2" t="s">
        <v>155</v>
      </c>
      <c r="E1724" s="2" t="s">
        <v>155</v>
      </c>
      <c r="F1724" s="39">
        <v>45839</v>
      </c>
      <c r="G1724" s="238">
        <f>DAY(EOMONTH(TA[[#This Row],[Month Year]],0))</f>
        <v>31</v>
      </c>
      <c r="H1724" s="21">
        <v>45869</v>
      </c>
      <c r="I1724" s="41">
        <f>IFERROR(VLOOKUP(TA[[#This Row],[Date]],Raw_Data[[Date]:[Sunset Time (POA&lt;20 W/m2)]],3,0),"")</f>
        <v>0.26250000000000001</v>
      </c>
      <c r="J1724" s="41">
        <f>IFERROR(VLOOKUP(TA[[#This Row],[Date]],Raw_Data[[Date]:[Sunset Time (POA&lt;20 W/m2)]],4,0),"")</f>
        <v>0.78055555555555556</v>
      </c>
      <c r="K1724" s="35">
        <f>IFERROR((TA[[#This Row],[Sunset Time (POA&lt;20 W/m2)]]-TA[[#This Row],[Sunrise Time (POA&gt;20 W/m2)]])*24,"")</f>
        <v>12.433333333333332</v>
      </c>
      <c r="L1724" s="2" t="s">
        <v>294</v>
      </c>
      <c r="M1724" s="42">
        <f>IFERROR(VLOOKUP(TA[[#This Row],[Affected Equipment]],'Basic Data'!$I$2:$K$40,3,0),"")</f>
        <v>1.7241379310344799E-3</v>
      </c>
      <c r="N1724">
        <v>-28</v>
      </c>
      <c r="O1724" t="s">
        <v>137</v>
      </c>
      <c r="P1724" s="127" t="s">
        <v>315</v>
      </c>
      <c r="Q1724" s="126" t="s">
        <v>319</v>
      </c>
      <c r="R1724">
        <v>166</v>
      </c>
      <c r="S1724" s="2">
        <v>91</v>
      </c>
      <c r="T1724" t="s">
        <v>295</v>
      </c>
      <c r="U1724" t="s">
        <v>300</v>
      </c>
      <c r="V1724" t="s">
        <v>298</v>
      </c>
      <c r="W1724" s="41"/>
      <c r="X1724" s="41"/>
      <c r="Y1724" s="34"/>
      <c r="Z1724" s="34"/>
      <c r="AA1724" s="35">
        <f>IF(TA[[#This Row],[Work Start time on Fault]]="NA","",(TA[[#This Row],[Fault Acknowledgement Time ]]-TA[[#This Row],[Fault Time]])*24)</f>
        <v>0</v>
      </c>
      <c r="AB1724" s="35">
        <f>(TA[[#This Row],[Work Start time on Fault]]-TA[[#This Row],[Fault Time]])*24</f>
        <v>0</v>
      </c>
      <c r="AC1724" s="34">
        <f>(TA[[#This Row],[Work Completion time on fault]]-TA[[#This Row],[Fault Time]])*24</f>
        <v>0</v>
      </c>
      <c r="AD1724" s="35">
        <f>IFERROR((TA[[#This Row],[Work Completion time on fault]]-TA[[#This Row],[Fault Time]])*24,"")</f>
        <v>0</v>
      </c>
      <c r="AE1724" t="s">
        <v>328</v>
      </c>
      <c r="AF1724" t="s">
        <v>256</v>
      </c>
      <c r="AG1724" s="2"/>
      <c r="AH1724" s="44">
        <f>1-COS(RADIANS(TA[[#This Row],[Avg. Target Angle during Fault Time (Radians)]]-TA[[#This Row],[Angle of affected equipment ]]))</f>
        <v>0.11705240714107301</v>
      </c>
      <c r="AI1724" s="35">
        <f>IFERROR(TA[[#This Row],[Breakdown Time]]*TA[[#This Row],[Plant Equivalent Weightage]],"")</f>
        <v>0</v>
      </c>
    </row>
    <row r="1725" spans="1:35">
      <c r="A1725" s="2">
        <f t="shared" si="218"/>
        <v>1722</v>
      </c>
      <c r="B1725" s="156">
        <f t="shared" si="219"/>
        <v>2026</v>
      </c>
      <c r="C1725" s="129">
        <f t="shared" si="220"/>
        <v>2025</v>
      </c>
      <c r="D1725" s="2" t="s">
        <v>155</v>
      </c>
      <c r="E1725" s="2" t="s">
        <v>155</v>
      </c>
      <c r="F1725" s="39">
        <v>45839</v>
      </c>
      <c r="G1725" s="238">
        <f>DAY(EOMONTH(TA[[#This Row],[Month Year]],0))</f>
        <v>31</v>
      </c>
      <c r="H1725" s="21">
        <v>45869</v>
      </c>
      <c r="I1725" s="41">
        <f>IFERROR(VLOOKUP(TA[[#This Row],[Date]],Raw_Data[[Date]:[Sunset Time (POA&lt;20 W/m2)]],3,0),"")</f>
        <v>0.26250000000000001</v>
      </c>
      <c r="J1725" s="41">
        <f>IFERROR(VLOOKUP(TA[[#This Row],[Date]],Raw_Data[[Date]:[Sunset Time (POA&lt;20 W/m2)]],4,0),"")</f>
        <v>0.78055555555555556</v>
      </c>
      <c r="K1725" s="35">
        <f>IFERROR((TA[[#This Row],[Sunset Time (POA&lt;20 W/m2)]]-TA[[#This Row],[Sunrise Time (POA&gt;20 W/m2)]])*24,"")</f>
        <v>12.433333333333332</v>
      </c>
      <c r="L1725" s="2" t="s">
        <v>294</v>
      </c>
      <c r="M1725" s="42">
        <f>IFERROR(VLOOKUP(TA[[#This Row],[Affected Equipment]],'Basic Data'!$I$2:$K$40,3,0),"")</f>
        <v>1.7241379310344799E-3</v>
      </c>
      <c r="N1725">
        <v>-28</v>
      </c>
      <c r="O1725" t="s">
        <v>133</v>
      </c>
      <c r="P1725" s="127" t="s">
        <v>316</v>
      </c>
      <c r="Q1725" s="126" t="s">
        <v>316</v>
      </c>
      <c r="R1725">
        <v>117</v>
      </c>
      <c r="S1725" s="2">
        <v>20</v>
      </c>
      <c r="T1725" t="s">
        <v>295</v>
      </c>
      <c r="U1725" t="s">
        <v>300</v>
      </c>
      <c r="V1725" t="s">
        <v>298</v>
      </c>
      <c r="W1725" s="41"/>
      <c r="X1725" s="41"/>
      <c r="Y1725" s="34"/>
      <c r="Z1725" s="34"/>
      <c r="AA1725" s="35">
        <f>IF(TA[[#This Row],[Work Start time on Fault]]="NA","",(TA[[#This Row],[Fault Acknowledgement Time ]]-TA[[#This Row],[Fault Time]])*24)</f>
        <v>0</v>
      </c>
      <c r="AB1725" s="35">
        <f>(TA[[#This Row],[Work Start time on Fault]]-TA[[#This Row],[Fault Time]])*24</f>
        <v>0</v>
      </c>
      <c r="AC1725" s="34">
        <f>(TA[[#This Row],[Work Completion time on fault]]-TA[[#This Row],[Fault Time]])*24</f>
        <v>0</v>
      </c>
      <c r="AD1725" s="35">
        <f>IFERROR((TA[[#This Row],[Work Completion time on fault]]-TA[[#This Row],[Fault Time]])*24,"")</f>
        <v>0</v>
      </c>
      <c r="AE1725" t="s">
        <v>328</v>
      </c>
      <c r="AF1725" t="s">
        <v>256</v>
      </c>
      <c r="AG1725" s="2"/>
      <c r="AH1725" s="44">
        <f>1-COS(RADIANS(TA[[#This Row],[Avg. Target Angle during Fault Time (Radians)]]-TA[[#This Row],[Angle of affected equipment ]]))</f>
        <v>0.11705240714107301</v>
      </c>
      <c r="AI1725" s="35">
        <f>IFERROR(TA[[#This Row],[Breakdown Time]]*TA[[#This Row],[Plant Equivalent Weightage]],"")</f>
        <v>0</v>
      </c>
    </row>
    <row r="1726" spans="1:35">
      <c r="A1726" s="2">
        <f t="shared" si="218"/>
        <v>1723</v>
      </c>
      <c r="B1726" s="156">
        <f t="shared" si="219"/>
        <v>2026</v>
      </c>
      <c r="C1726" s="129">
        <f t="shared" si="220"/>
        <v>2025</v>
      </c>
      <c r="D1726" s="2" t="s">
        <v>155</v>
      </c>
      <c r="E1726" s="2" t="s">
        <v>155</v>
      </c>
      <c r="F1726" s="39">
        <v>45839</v>
      </c>
      <c r="G1726" s="238">
        <f>DAY(EOMONTH(TA[[#This Row],[Month Year]],0))</f>
        <v>31</v>
      </c>
      <c r="H1726" s="21">
        <v>45869</v>
      </c>
      <c r="I1726" s="41">
        <f>IFERROR(VLOOKUP(TA[[#This Row],[Date]],Raw_Data[[Date]:[Sunset Time (POA&lt;20 W/m2)]],3,0),"")</f>
        <v>0.26250000000000001</v>
      </c>
      <c r="J1726" s="41">
        <f>IFERROR(VLOOKUP(TA[[#This Row],[Date]],Raw_Data[[Date]:[Sunset Time (POA&lt;20 W/m2)]],4,0),"")</f>
        <v>0.78055555555555556</v>
      </c>
      <c r="K1726" s="35">
        <f>IFERROR((TA[[#This Row],[Sunset Time (POA&lt;20 W/m2)]]-TA[[#This Row],[Sunrise Time (POA&gt;20 W/m2)]])*24,"")</f>
        <v>12.433333333333332</v>
      </c>
      <c r="L1726" s="2" t="s">
        <v>294</v>
      </c>
      <c r="M1726" s="42">
        <f>IFERROR(VLOOKUP(TA[[#This Row],[Affected Equipment]],'Basic Data'!$I$2:$K$40,3,0),"")</f>
        <v>1.7241379310344799E-3</v>
      </c>
      <c r="N1726">
        <v>-28</v>
      </c>
      <c r="O1726" t="s">
        <v>133</v>
      </c>
      <c r="P1726" s="127" t="s">
        <v>316</v>
      </c>
      <c r="Q1726" s="126" t="s">
        <v>316</v>
      </c>
      <c r="R1726">
        <v>118</v>
      </c>
      <c r="S1726" s="2">
        <v>22</v>
      </c>
      <c r="T1726" t="s">
        <v>295</v>
      </c>
      <c r="U1726" t="s">
        <v>300</v>
      </c>
      <c r="V1726" t="s">
        <v>298</v>
      </c>
      <c r="W1726" s="41"/>
      <c r="X1726" s="41"/>
      <c r="Y1726" s="34"/>
      <c r="Z1726" s="34"/>
      <c r="AA1726" s="35">
        <f>IF(TA[[#This Row],[Work Start time on Fault]]="NA","",(TA[[#This Row],[Fault Acknowledgement Time ]]-TA[[#This Row],[Fault Time]])*24)</f>
        <v>0</v>
      </c>
      <c r="AB1726" s="35">
        <f>(TA[[#This Row],[Work Start time on Fault]]-TA[[#This Row],[Fault Time]])*24</f>
        <v>0</v>
      </c>
      <c r="AC1726" s="34">
        <f>(TA[[#This Row],[Work Completion time on fault]]-TA[[#This Row],[Fault Time]])*24</f>
        <v>0</v>
      </c>
      <c r="AD1726" s="35">
        <f>IFERROR((TA[[#This Row],[Work Completion time on fault]]-TA[[#This Row],[Fault Time]])*24,"")</f>
        <v>0</v>
      </c>
      <c r="AE1726" t="s">
        <v>328</v>
      </c>
      <c r="AF1726" t="s">
        <v>256</v>
      </c>
      <c r="AG1726" s="2"/>
      <c r="AH1726" s="44">
        <f>1-COS(RADIANS(TA[[#This Row],[Avg. Target Angle during Fault Time (Radians)]]-TA[[#This Row],[Angle of affected equipment ]]))</f>
        <v>0.11705240714107301</v>
      </c>
      <c r="AI1726" s="35">
        <f>IFERROR(TA[[#This Row],[Breakdown Time]]*TA[[#This Row],[Plant Equivalent Weightage]],"")</f>
        <v>0</v>
      </c>
    </row>
    <row r="1727" spans="1:35">
      <c r="A1727" s="2">
        <f t="shared" si="218"/>
        <v>1724</v>
      </c>
      <c r="B1727" s="156">
        <f t="shared" si="219"/>
        <v>2026</v>
      </c>
      <c r="C1727" s="129">
        <f t="shared" si="220"/>
        <v>2025</v>
      </c>
      <c r="D1727" s="2" t="s">
        <v>155</v>
      </c>
      <c r="E1727" s="2" t="s">
        <v>155</v>
      </c>
      <c r="F1727" s="39">
        <v>45839</v>
      </c>
      <c r="G1727" s="238">
        <f>DAY(EOMONTH(TA[[#This Row],[Month Year]],0))</f>
        <v>31</v>
      </c>
      <c r="H1727" s="21">
        <v>45869</v>
      </c>
      <c r="I1727" s="41">
        <f>IFERROR(VLOOKUP(TA[[#This Row],[Date]],Raw_Data[[Date]:[Sunset Time (POA&lt;20 W/m2)]],3,0),"")</f>
        <v>0.26250000000000001</v>
      </c>
      <c r="J1727" s="41">
        <f>IFERROR(VLOOKUP(TA[[#This Row],[Date]],Raw_Data[[Date]:[Sunset Time (POA&lt;20 W/m2)]],4,0),"")</f>
        <v>0.78055555555555556</v>
      </c>
      <c r="K1727" s="35">
        <f>IFERROR((TA[[#This Row],[Sunset Time (POA&lt;20 W/m2)]]-TA[[#This Row],[Sunrise Time (POA&gt;20 W/m2)]])*24,"")</f>
        <v>12.433333333333332</v>
      </c>
      <c r="L1727" s="2" t="s">
        <v>296</v>
      </c>
      <c r="M1727" s="42">
        <f>IFERROR(VLOOKUP(TA[[#This Row],[Affected Equipment]],'Basic Data'!$I$2:$K$40,3,0),"")</f>
        <v>8.6206896551724102E-3</v>
      </c>
      <c r="N1727">
        <v>-28</v>
      </c>
      <c r="O1727" t="s">
        <v>135</v>
      </c>
      <c r="P1727" s="22" t="s">
        <v>323</v>
      </c>
      <c r="Q1727" s="2" t="s">
        <v>329</v>
      </c>
      <c r="R1727">
        <v>45</v>
      </c>
      <c r="S1727" s="2">
        <v>8</v>
      </c>
      <c r="T1727" t="s">
        <v>297</v>
      </c>
      <c r="U1727" t="s">
        <v>300</v>
      </c>
      <c r="V1727" t="s">
        <v>301</v>
      </c>
      <c r="W1727" s="41"/>
      <c r="X1727" s="41"/>
      <c r="Y1727" s="34"/>
      <c r="Z1727" s="34"/>
      <c r="AA1727" s="35">
        <f>IF(TA[[#This Row],[Work Start time on Fault]]="NA","",(TA[[#This Row],[Fault Acknowledgement Time ]]-TA[[#This Row],[Fault Time]])*24)</f>
        <v>0</v>
      </c>
      <c r="AB1727" s="35">
        <f>(TA[[#This Row],[Work Start time on Fault]]-TA[[#This Row],[Fault Time]])*24</f>
        <v>0</v>
      </c>
      <c r="AC1727" s="34">
        <f>(TA[[#This Row],[Work Completion time on fault]]-TA[[#This Row],[Fault Time]])*24</f>
        <v>0</v>
      </c>
      <c r="AD1727" s="35">
        <f>IFERROR((TA[[#This Row],[Work Completion time on fault]]-TA[[#This Row],[Fault Time]])*24,"")</f>
        <v>0</v>
      </c>
      <c r="AE1727" t="s">
        <v>328</v>
      </c>
      <c r="AF1727" t="s">
        <v>256</v>
      </c>
      <c r="AG1727" s="2"/>
      <c r="AH1727" s="44">
        <f>1-COS(RADIANS(TA[[#This Row],[Avg. Target Angle during Fault Time (Radians)]]-TA[[#This Row],[Angle of affected equipment ]]))</f>
        <v>0.11705240714107301</v>
      </c>
      <c r="AI1727" s="35">
        <f>IFERROR(TA[[#This Row],[Breakdown Time]]*TA[[#This Row],[Plant Equivalent Weightage]],"")</f>
        <v>0</v>
      </c>
    </row>
    <row r="1728" spans="1:35">
      <c r="A1728" s="2">
        <f t="shared" si="218"/>
        <v>1725</v>
      </c>
      <c r="B1728" s="156">
        <f t="shared" si="219"/>
        <v>2026</v>
      </c>
      <c r="C1728" s="129">
        <f t="shared" si="220"/>
        <v>2025</v>
      </c>
      <c r="D1728" s="2" t="s">
        <v>155</v>
      </c>
      <c r="E1728" s="2" t="s">
        <v>155</v>
      </c>
      <c r="F1728" s="39">
        <v>45839</v>
      </c>
      <c r="G1728" s="238">
        <f>DAY(EOMONTH(TA[[#This Row],[Month Year]],0))</f>
        <v>31</v>
      </c>
      <c r="H1728" s="21">
        <v>45869</v>
      </c>
      <c r="I1728" s="41">
        <f>IFERROR(VLOOKUP(TA[[#This Row],[Date]],Raw_Data[[Date]:[Sunset Time (POA&lt;20 W/m2)]],3,0),"")</f>
        <v>0.26250000000000001</v>
      </c>
      <c r="J1728" s="41">
        <f>IFERROR(VLOOKUP(TA[[#This Row],[Date]],Raw_Data[[Date]:[Sunset Time (POA&lt;20 W/m2)]],4,0),"")</f>
        <v>0.78055555555555556</v>
      </c>
      <c r="K1728" s="35">
        <f>IFERROR((TA[[#This Row],[Sunset Time (POA&lt;20 W/m2)]]-TA[[#This Row],[Sunrise Time (POA&gt;20 W/m2)]])*24,"")</f>
        <v>12.433333333333332</v>
      </c>
      <c r="L1728" s="2" t="s">
        <v>296</v>
      </c>
      <c r="M1728" s="42">
        <f>IFERROR(VLOOKUP(TA[[#This Row],[Affected Equipment]],'Basic Data'!$I$2:$K$40,3,0),"")</f>
        <v>8.6206896551724102E-3</v>
      </c>
      <c r="N1728">
        <v>-28</v>
      </c>
      <c r="O1728" t="s">
        <v>135</v>
      </c>
      <c r="P1728" s="22" t="s">
        <v>323</v>
      </c>
      <c r="Q1728" s="2" t="s">
        <v>329</v>
      </c>
      <c r="R1728">
        <v>47</v>
      </c>
      <c r="S1728" s="2">
        <v>18</v>
      </c>
      <c r="T1728" t="s">
        <v>297</v>
      </c>
      <c r="U1728" t="s">
        <v>300</v>
      </c>
      <c r="V1728" t="s">
        <v>301</v>
      </c>
      <c r="W1728" s="41"/>
      <c r="X1728" s="41"/>
      <c r="Y1728" s="34"/>
      <c r="Z1728" s="34"/>
      <c r="AA1728" s="35">
        <f>IF(TA[[#This Row],[Work Start time on Fault]]="NA","",(TA[[#This Row],[Fault Acknowledgement Time ]]-TA[[#This Row],[Fault Time]])*24)</f>
        <v>0</v>
      </c>
      <c r="AB1728" s="35">
        <f>(TA[[#This Row],[Work Start time on Fault]]-TA[[#This Row],[Fault Time]])*24</f>
        <v>0</v>
      </c>
      <c r="AC1728" s="34">
        <f>(TA[[#This Row],[Work Completion time on fault]]-TA[[#This Row],[Fault Time]])*24</f>
        <v>0</v>
      </c>
      <c r="AD1728" s="35">
        <f>IFERROR((TA[[#This Row],[Work Completion time on fault]]-TA[[#This Row],[Fault Time]])*24,"")</f>
        <v>0</v>
      </c>
      <c r="AE1728" t="s">
        <v>328</v>
      </c>
      <c r="AF1728" t="s">
        <v>256</v>
      </c>
      <c r="AG1728" s="2"/>
      <c r="AH1728" s="44">
        <f>1-COS(RADIANS(TA[[#This Row],[Avg. Target Angle during Fault Time (Radians)]]-TA[[#This Row],[Angle of affected equipment ]]))</f>
        <v>0.11705240714107301</v>
      </c>
      <c r="AI1728" s="35">
        <f>IFERROR(TA[[#This Row],[Breakdown Time]]*TA[[#This Row],[Plant Equivalent Weightage]],"")</f>
        <v>0</v>
      </c>
    </row>
    <row r="1729" spans="1:35">
      <c r="A1729" s="2">
        <f t="shared" si="218"/>
        <v>1726</v>
      </c>
      <c r="B1729" s="156">
        <f t="shared" si="219"/>
        <v>2026</v>
      </c>
      <c r="C1729" s="129">
        <f t="shared" si="220"/>
        <v>2025</v>
      </c>
      <c r="D1729" s="2" t="s">
        <v>155</v>
      </c>
      <c r="E1729" s="2" t="s">
        <v>155</v>
      </c>
      <c r="F1729" s="39">
        <v>45839</v>
      </c>
      <c r="G1729" s="238">
        <f>DAY(EOMONTH(TA[[#This Row],[Month Year]],0))</f>
        <v>31</v>
      </c>
      <c r="H1729" s="21">
        <v>45869</v>
      </c>
      <c r="I1729" s="41">
        <f>IFERROR(VLOOKUP(TA[[#This Row],[Date]],Raw_Data[[Date]:[Sunset Time (POA&lt;20 W/m2)]],3,0),"")</f>
        <v>0.26250000000000001</v>
      </c>
      <c r="J1729" s="41">
        <f>IFERROR(VLOOKUP(TA[[#This Row],[Date]],Raw_Data[[Date]:[Sunset Time (POA&lt;20 W/m2)]],4,0),"")</f>
        <v>0.78055555555555556</v>
      </c>
      <c r="K1729" s="35">
        <f>IFERROR((TA[[#This Row],[Sunset Time (POA&lt;20 W/m2)]]-TA[[#This Row],[Sunrise Time (POA&gt;20 W/m2)]])*24,"")</f>
        <v>12.433333333333332</v>
      </c>
      <c r="L1729" s="2" t="s">
        <v>296</v>
      </c>
      <c r="M1729" s="42">
        <f>IFERROR(VLOOKUP(TA[[#This Row],[Affected Equipment]],'Basic Data'!$I$2:$K$40,3,0),"")</f>
        <v>8.6206896551724102E-3</v>
      </c>
      <c r="N1729">
        <v>-28</v>
      </c>
      <c r="O1729" t="s">
        <v>134</v>
      </c>
      <c r="P1729" s="22" t="s">
        <v>330</v>
      </c>
      <c r="Q1729" s="2" t="s">
        <v>323</v>
      </c>
      <c r="R1729">
        <v>30</v>
      </c>
      <c r="S1729" s="2">
        <v>57</v>
      </c>
      <c r="T1729" t="s">
        <v>297</v>
      </c>
      <c r="U1729" t="s">
        <v>300</v>
      </c>
      <c r="V1729" t="s">
        <v>301</v>
      </c>
      <c r="W1729" s="41"/>
      <c r="X1729" s="41"/>
      <c r="Y1729" s="34"/>
      <c r="Z1729" s="34"/>
      <c r="AA1729" s="35">
        <f>IF(TA[[#This Row],[Work Start time on Fault]]="NA","",(TA[[#This Row],[Fault Acknowledgement Time ]]-TA[[#This Row],[Fault Time]])*24)</f>
        <v>0</v>
      </c>
      <c r="AB1729" s="35">
        <f>(TA[[#This Row],[Work Start time on Fault]]-TA[[#This Row],[Fault Time]])*24</f>
        <v>0</v>
      </c>
      <c r="AC1729" s="34">
        <f>(TA[[#This Row],[Work Completion time on fault]]-TA[[#This Row],[Fault Time]])*24</f>
        <v>0</v>
      </c>
      <c r="AD1729" s="35">
        <f>IFERROR((TA[[#This Row],[Work Completion time on fault]]-TA[[#This Row],[Fault Time]])*24,"")</f>
        <v>0</v>
      </c>
      <c r="AE1729" t="s">
        <v>328</v>
      </c>
      <c r="AF1729" t="s">
        <v>256</v>
      </c>
      <c r="AG1729" s="2"/>
      <c r="AH1729" s="44">
        <f>1-COS(RADIANS(TA[[#This Row],[Avg. Target Angle during Fault Time (Radians)]]-TA[[#This Row],[Angle of affected equipment ]]))</f>
        <v>0.11705240714107301</v>
      </c>
      <c r="AI1729" s="35">
        <f>IFERROR(TA[[#This Row],[Breakdown Time]]*TA[[#This Row],[Plant Equivalent Weightage]],"")</f>
        <v>0</v>
      </c>
    </row>
    <row r="1730" spans="1:35">
      <c r="A1730" s="2">
        <f t="shared" si="218"/>
        <v>1727</v>
      </c>
      <c r="B1730" s="156">
        <f t="shared" si="219"/>
        <v>2026</v>
      </c>
      <c r="C1730" s="129">
        <f t="shared" si="220"/>
        <v>2025</v>
      </c>
      <c r="D1730" s="2" t="s">
        <v>155</v>
      </c>
      <c r="E1730" s="2" t="s">
        <v>155</v>
      </c>
      <c r="F1730" s="39">
        <v>45839</v>
      </c>
      <c r="G1730" s="238">
        <f>DAY(EOMONTH(TA[[#This Row],[Month Year]],0))</f>
        <v>31</v>
      </c>
      <c r="H1730" s="21">
        <v>45869</v>
      </c>
      <c r="I1730" s="41">
        <f>IFERROR(VLOOKUP(TA[[#This Row],[Date]],Raw_Data[[Date]:[Sunset Time (POA&lt;20 W/m2)]],3,0),"")</f>
        <v>0.26250000000000001</v>
      </c>
      <c r="J1730" s="41">
        <f>IFERROR(VLOOKUP(TA[[#This Row],[Date]],Raw_Data[[Date]:[Sunset Time (POA&lt;20 W/m2)]],4,0),"")</f>
        <v>0.78055555555555556</v>
      </c>
      <c r="K1730" s="35">
        <f>IFERROR((TA[[#This Row],[Sunset Time (POA&lt;20 W/m2)]]-TA[[#This Row],[Sunrise Time (POA&gt;20 W/m2)]])*24,"")</f>
        <v>12.433333333333332</v>
      </c>
      <c r="L1730" s="2" t="s">
        <v>296</v>
      </c>
      <c r="M1730" s="42">
        <f>IFERROR(VLOOKUP(TA[[#This Row],[Affected Equipment]],'Basic Data'!$I$2:$K$40,3,0),"")</f>
        <v>8.6206896551724102E-3</v>
      </c>
      <c r="N1730">
        <v>-28</v>
      </c>
      <c r="O1730" t="s">
        <v>134</v>
      </c>
      <c r="P1730" s="22" t="s">
        <v>330</v>
      </c>
      <c r="Q1730" s="2" t="s">
        <v>323</v>
      </c>
      <c r="R1730">
        <v>31</v>
      </c>
      <c r="S1730" s="2">
        <v>61</v>
      </c>
      <c r="T1730" t="s">
        <v>297</v>
      </c>
      <c r="U1730" t="s">
        <v>300</v>
      </c>
      <c r="V1730" t="s">
        <v>301</v>
      </c>
      <c r="W1730" s="41"/>
      <c r="X1730" s="41"/>
      <c r="Y1730" s="34"/>
      <c r="Z1730" s="34"/>
      <c r="AA1730" s="35">
        <f>IF(TA[[#This Row],[Work Start time on Fault]]="NA","",(TA[[#This Row],[Fault Acknowledgement Time ]]-TA[[#This Row],[Fault Time]])*24)</f>
        <v>0</v>
      </c>
      <c r="AB1730" s="35">
        <f>(TA[[#This Row],[Work Start time on Fault]]-TA[[#This Row],[Fault Time]])*24</f>
        <v>0</v>
      </c>
      <c r="AC1730" s="34">
        <f>(TA[[#This Row],[Work Completion time on fault]]-TA[[#This Row],[Fault Time]])*24</f>
        <v>0</v>
      </c>
      <c r="AD1730" s="35">
        <f>IFERROR((TA[[#This Row],[Work Completion time on fault]]-TA[[#This Row],[Fault Time]])*24,"")</f>
        <v>0</v>
      </c>
      <c r="AE1730" t="s">
        <v>328</v>
      </c>
      <c r="AF1730" t="s">
        <v>256</v>
      </c>
      <c r="AG1730" s="2"/>
      <c r="AH1730" s="44">
        <f>1-COS(RADIANS(TA[[#This Row],[Avg. Target Angle during Fault Time (Radians)]]-TA[[#This Row],[Angle of affected equipment ]]))</f>
        <v>0.11705240714107301</v>
      </c>
      <c r="AI1730" s="35">
        <f>IFERROR(TA[[#This Row],[Breakdown Time]]*TA[[#This Row],[Plant Equivalent Weightage]],"")</f>
        <v>0</v>
      </c>
    </row>
    <row r="1731" spans="1:35">
      <c r="A1731" s="2">
        <f t="shared" si="218"/>
        <v>1728</v>
      </c>
      <c r="B1731" s="156">
        <f t="shared" si="219"/>
        <v>2026</v>
      </c>
      <c r="C1731" s="129">
        <f t="shared" si="220"/>
        <v>2025</v>
      </c>
      <c r="D1731" s="2" t="s">
        <v>155</v>
      </c>
      <c r="E1731" s="2" t="s">
        <v>155</v>
      </c>
      <c r="F1731" s="39">
        <v>45839</v>
      </c>
      <c r="G1731" s="238">
        <f>DAY(EOMONTH(TA[[#This Row],[Month Year]],0))</f>
        <v>31</v>
      </c>
      <c r="H1731" s="21">
        <v>45869</v>
      </c>
      <c r="I1731" s="41">
        <f>IFERROR(VLOOKUP(TA[[#This Row],[Date]],Raw_Data[[Date]:[Sunset Time (POA&lt;20 W/m2)]],3,0),"")</f>
        <v>0.26250000000000001</v>
      </c>
      <c r="J1731" s="41">
        <f>IFERROR(VLOOKUP(TA[[#This Row],[Date]],Raw_Data[[Date]:[Sunset Time (POA&lt;20 W/m2)]],4,0),"")</f>
        <v>0.78055555555555556</v>
      </c>
      <c r="K1731" s="35">
        <f>IFERROR((TA[[#This Row],[Sunset Time (POA&lt;20 W/m2)]]-TA[[#This Row],[Sunrise Time (POA&gt;20 W/m2)]])*24,"")</f>
        <v>12.433333333333332</v>
      </c>
      <c r="L1731" s="2" t="s">
        <v>312</v>
      </c>
      <c r="M1731" s="42">
        <f>IFERROR(VLOOKUP(TA[[#This Row],[Affected Equipment]],'Basic Data'!$I$2:$K$40,3,0),"")</f>
        <v>5.74712643678161E-3</v>
      </c>
      <c r="N1731">
        <v>-28</v>
      </c>
      <c r="O1731" t="s">
        <v>133</v>
      </c>
      <c r="P1731" s="22" t="s">
        <v>330</v>
      </c>
      <c r="Q1731" s="2" t="s">
        <v>323</v>
      </c>
      <c r="R1731">
        <v>26</v>
      </c>
      <c r="S1731" s="2">
        <v>37</v>
      </c>
      <c r="T1731" t="s">
        <v>297</v>
      </c>
      <c r="U1731" t="s">
        <v>300</v>
      </c>
      <c r="V1731" t="s">
        <v>301</v>
      </c>
      <c r="W1731" s="41"/>
      <c r="X1731" s="41"/>
      <c r="Y1731" s="34"/>
      <c r="Z1731" s="34"/>
      <c r="AA1731" s="35">
        <f>IF(TA[[#This Row],[Work Start time on Fault]]="NA","",(TA[[#This Row],[Fault Acknowledgement Time ]]-TA[[#This Row],[Fault Time]])*24)</f>
        <v>0</v>
      </c>
      <c r="AB1731" s="35">
        <f>(TA[[#This Row],[Work Start time on Fault]]-TA[[#This Row],[Fault Time]])*24</f>
        <v>0</v>
      </c>
      <c r="AC1731" s="34">
        <f>(TA[[#This Row],[Work Completion time on fault]]-TA[[#This Row],[Fault Time]])*24</f>
        <v>0</v>
      </c>
      <c r="AD1731" s="35">
        <f>IFERROR((TA[[#This Row],[Work Completion time on fault]]-TA[[#This Row],[Fault Time]])*24,"")</f>
        <v>0</v>
      </c>
      <c r="AE1731" t="s">
        <v>328</v>
      </c>
      <c r="AF1731" t="s">
        <v>256</v>
      </c>
      <c r="AG1731" s="2"/>
      <c r="AH1731" s="44">
        <f>1-COS(RADIANS(TA[[#This Row],[Avg. Target Angle during Fault Time (Radians)]]-TA[[#This Row],[Angle of affected equipment ]]))</f>
        <v>0.11705240714107301</v>
      </c>
      <c r="AI1731" s="35">
        <f>IFERROR(TA[[#This Row],[Breakdown Time]]*TA[[#This Row],[Plant Equivalent Weightage]],"")</f>
        <v>0</v>
      </c>
    </row>
    <row r="1732" spans="1:35">
      <c r="A1732" s="2">
        <f t="shared" si="218"/>
        <v>1729</v>
      </c>
      <c r="B1732" s="156">
        <f t="shared" si="219"/>
        <v>2026</v>
      </c>
      <c r="C1732" s="129">
        <f t="shared" si="220"/>
        <v>2025</v>
      </c>
      <c r="D1732" s="2" t="s">
        <v>155</v>
      </c>
      <c r="E1732" s="2" t="s">
        <v>155</v>
      </c>
      <c r="F1732" s="39">
        <v>45839</v>
      </c>
      <c r="G1732" s="238">
        <f>DAY(EOMONTH(TA[[#This Row],[Month Year]],0))</f>
        <v>31</v>
      </c>
      <c r="H1732" s="21">
        <v>45869</v>
      </c>
      <c r="I1732" s="41">
        <f>IFERROR(VLOOKUP(TA[[#This Row],[Date]],Raw_Data[[Date]:[Sunset Time (POA&lt;20 W/m2)]],3,0),"")</f>
        <v>0.26250000000000001</v>
      </c>
      <c r="J1732" s="41">
        <f>IFERROR(VLOOKUP(TA[[#This Row],[Date]],Raw_Data[[Date]:[Sunset Time (POA&lt;20 W/m2)]],4,0),"")</f>
        <v>0.78055555555555556</v>
      </c>
      <c r="K1732" s="35">
        <f>IFERROR((TA[[#This Row],[Sunset Time (POA&lt;20 W/m2)]]-TA[[#This Row],[Sunrise Time (POA&gt;20 W/m2)]])*24,"")</f>
        <v>12.433333333333332</v>
      </c>
      <c r="L1732" s="2" t="s">
        <v>312</v>
      </c>
      <c r="M1732" s="42">
        <f>IFERROR(VLOOKUP(TA[[#This Row],[Affected Equipment]],'Basic Data'!$I$2:$K$40,3,0),"")</f>
        <v>5.74712643678161E-3</v>
      </c>
      <c r="N1732">
        <v>-28</v>
      </c>
      <c r="O1732" t="s">
        <v>133</v>
      </c>
      <c r="P1732" s="22" t="s">
        <v>330</v>
      </c>
      <c r="Q1732" s="2" t="s">
        <v>323</v>
      </c>
      <c r="R1732">
        <v>27</v>
      </c>
      <c r="S1732" s="2">
        <v>42</v>
      </c>
      <c r="T1732" t="s">
        <v>297</v>
      </c>
      <c r="U1732" t="s">
        <v>300</v>
      </c>
      <c r="V1732" t="s">
        <v>301</v>
      </c>
      <c r="W1732" s="41">
        <f>IFERROR(VLOOKUP(TA[[#This Row],[Date]],Raw_Data[[Date]:[Sunset Time (POA&lt;20 W/m2)]],3,0),"")</f>
        <v>0.26250000000000001</v>
      </c>
      <c r="X1732" s="41">
        <f>IFERROR(VLOOKUP(TA[[#This Row],[Date]],Raw_Data[[Date]:[Sunset Time (POA&lt;20 W/m2)]],3,0),"")</f>
        <v>0.26250000000000001</v>
      </c>
      <c r="Y1732" s="34"/>
      <c r="Z1732" s="34">
        <v>0.76041666666666663</v>
      </c>
      <c r="AA1732" s="35">
        <f>IF(TA[[#This Row],[Work Start time on Fault]]="NA","",(TA[[#This Row],[Fault Acknowledgement Time ]]-TA[[#This Row],[Fault Time]])*24)</f>
        <v>0</v>
      </c>
      <c r="AB1732" s="35">
        <f>(TA[[#This Row],[Work Start time on Fault]]-TA[[#This Row],[Fault Time]])*24</f>
        <v>-6.3000000000000007</v>
      </c>
      <c r="AC1732" s="34">
        <f>(TA[[#This Row],[Work Completion time on fault]]-TA[[#This Row],[Fault Time]])*24</f>
        <v>11.95</v>
      </c>
      <c r="AD1732" s="35">
        <f>IFERROR((TA[[#This Row],[Work Completion time on fault]]-TA[[#This Row],[Fault Time]])*24,"")</f>
        <v>11.95</v>
      </c>
      <c r="AE1732" t="s">
        <v>309</v>
      </c>
      <c r="AF1732" t="s">
        <v>256</v>
      </c>
      <c r="AG1732" s="2"/>
      <c r="AH1732" s="44">
        <f>1-COS(RADIANS(TA[[#This Row],[Avg. Target Angle during Fault Time (Radians)]]-TA[[#This Row],[Angle of affected equipment ]]))</f>
        <v>0.11705240714107301</v>
      </c>
      <c r="AI1732" s="35">
        <f>IFERROR(TA[[#This Row],[Breakdown Time]]*TA[[#This Row],[Plant Equivalent Weightage]],"")</f>
        <v>6.8678160919540238E-2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 L1655:L1661 L1668:L1674 L1681:L1687 L1694:L1700 L1707:L1713 L1720:L1726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 T1655:T1661 T1668:T1674 T1681:T1687 T1694:T1700 T1707:T1713 T1720:T1726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 O1655:O1661 O1668:O1674 O1681:O1687 O1694:O1700 O1707:O1713 O1720:O1726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AF4:AF1732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Q35" activePane="bottomRight" state="frozen"/>
      <selection pane="topRight" activeCell="I2" sqref="I2"/>
      <selection pane="bottomLeft" activeCell="A3" sqref="A3"/>
      <selection pane="bottomRight" activeCell="R47" sqref="R47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2026</v>
      </c>
      <c r="C46" s="129">
        <f t="shared" si="2"/>
        <v>2025</v>
      </c>
      <c r="D46" t="s">
        <v>155</v>
      </c>
      <c r="E46" s="17" t="s">
        <v>155</v>
      </c>
      <c r="F46" s="25">
        <v>45810</v>
      </c>
      <c r="G46" s="17">
        <f>DAY(EOMONTH(GA[[#This Row],[Month Year]],0))</f>
        <v>30</v>
      </c>
      <c r="H46" s="26">
        <v>45858</v>
      </c>
      <c r="I46" s="31">
        <f>IFERROR(VLOOKUP(GA[[#This Row],[Date]],Raw_Data[[#All],[Date]:[Sunset Time (POA&lt;20 W/m2)]],3,0),"")</f>
        <v>0.25972222222222224</v>
      </c>
      <c r="J46" s="31">
        <f>IFERROR(VLOOKUP(GA[[#This Row],[Date]],Raw_Data[[#All],[Date]:[Sunset Time (POA&lt;20 W/m2)]],4,0),"")</f>
        <v>0.77986111111111112</v>
      </c>
      <c r="K46" s="30">
        <f>IFERROR((GA[[#This Row],[Sunset Time (POA&lt;20 W/m2)]]-GA[[#This Row],[Sunrise Time (POA&gt;20 W/m2)]])*24,"")</f>
        <v>12.483333333333334</v>
      </c>
      <c r="L46" s="17" t="s">
        <v>334</v>
      </c>
      <c r="M46" s="17">
        <f>IFERROR(VLOOKUP(GA[[#This Row],[Affceted Equipment]],'Basic Data'!$A$1:$B$113,2,0),"")</f>
        <v>11710.44</v>
      </c>
      <c r="N46" s="17" t="s">
        <v>335</v>
      </c>
      <c r="O46" s="1" t="s">
        <v>277</v>
      </c>
      <c r="P46" s="28">
        <f>IFERROR(VLOOKUP(GA[[#This Row],[Affceted Equipment]],'Basic Data'!$A$2:$C$118,3,0),"")</f>
        <v>1</v>
      </c>
      <c r="Q46" s="17" t="s">
        <v>258</v>
      </c>
      <c r="R46" t="s">
        <v>336</v>
      </c>
      <c r="S46" s="24">
        <v>0.50555555555555554</v>
      </c>
      <c r="T46" s="24">
        <v>0.50555555555555554</v>
      </c>
      <c r="U46" s="24">
        <v>0.50763888888888886</v>
      </c>
      <c r="V46" s="24">
        <v>0.51249999999999996</v>
      </c>
      <c r="W46" s="34">
        <f>(GA[[#This Row],[Acknowledgemnet Time ]]-GA[[#This Row],[Fault Time]])*24</f>
        <v>0</v>
      </c>
      <c r="X46" s="35">
        <f>(GA[[#This Row],[Work Start time on Fault]]-GA[[#This Row],[Fault Time]])*24</f>
        <v>4.9999999999999822E-2</v>
      </c>
      <c r="Y46" s="35">
        <f>(GA[[#This Row],[Work Completiuon time on fualt]]-GA[[#This Row],[Fault Time]])*24</f>
        <v>0.16666666666666607</v>
      </c>
      <c r="Z46" s="2" t="s">
        <v>337</v>
      </c>
      <c r="AA46" s="2" t="s">
        <v>249</v>
      </c>
      <c r="AB46" s="2">
        <f>IFERROR(GA[[#This Row],[Plant Equivalent Weightage]]*GA[[#This Row],[Resolution Time]],"")</f>
        <v>0.16666666666666607</v>
      </c>
      <c r="AC46" s="2">
        <v>125</v>
      </c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2026</v>
      </c>
      <c r="C47" s="129">
        <f t="shared" si="2"/>
        <v>2025</v>
      </c>
      <c r="D47" t="s">
        <v>155</v>
      </c>
      <c r="E47" s="17" t="s">
        <v>155</v>
      </c>
      <c r="F47" s="25">
        <v>45810</v>
      </c>
      <c r="G47" s="17">
        <f>DAY(EOMONTH(GA[[#This Row],[Month Year]],0))</f>
        <v>30</v>
      </c>
      <c r="H47" s="26">
        <v>45868</v>
      </c>
      <c r="I47" s="31">
        <f>IFERROR(VLOOKUP(GA[[#This Row],[Date]],Raw_Data[[#All],[Date]:[Sunset Time (POA&lt;20 W/m2)]],3,0),"")</f>
        <v>0.25694444444444442</v>
      </c>
      <c r="J47" s="31">
        <f>IFERROR(VLOOKUP(GA[[#This Row],[Date]],Raw_Data[[#All],[Date]:[Sunset Time (POA&lt;20 W/m2)]],4,0),"")</f>
        <v>0.76875000000000004</v>
      </c>
      <c r="K47" s="30">
        <f>IFERROR((GA[[#This Row],[Sunset Time (POA&lt;20 W/m2)]]-GA[[#This Row],[Sunrise Time (POA&gt;20 W/m2)]])*24,"")</f>
        <v>12.283333333333335</v>
      </c>
      <c r="L47" s="17" t="s">
        <v>334</v>
      </c>
      <c r="M47" s="17">
        <f>IFERROR(VLOOKUP(GA[[#This Row],[Affceted Equipment]],'Basic Data'!$A$1:$B$113,2,0),"")</f>
        <v>11710.44</v>
      </c>
      <c r="N47" s="17" t="s">
        <v>335</v>
      </c>
      <c r="O47" s="1" t="s">
        <v>277</v>
      </c>
      <c r="P47" s="28">
        <f>IFERROR(VLOOKUP(GA[[#This Row],[Affceted Equipment]],'Basic Data'!$A$2:$C$118,3,0),"")</f>
        <v>1</v>
      </c>
      <c r="Q47" s="17" t="s">
        <v>258</v>
      </c>
      <c r="R47" t="s">
        <v>492</v>
      </c>
      <c r="S47" s="24">
        <v>0.67291666666666672</v>
      </c>
      <c r="T47" s="24">
        <v>0.67291666666666672</v>
      </c>
      <c r="U47" s="24">
        <v>0.68402777777777779</v>
      </c>
      <c r="V47" s="24">
        <v>0.70833333333333337</v>
      </c>
      <c r="W47" s="34">
        <f>(GA[[#This Row],[Acknowledgemnet Time ]]-GA[[#This Row],[Fault Time]])*24</f>
        <v>0</v>
      </c>
      <c r="X47" s="35">
        <f>(GA[[#This Row],[Work Start time on Fault]]-GA[[#This Row],[Fault Time]])*24</f>
        <v>0.26666666666666572</v>
      </c>
      <c r="Y47" s="35">
        <f>(GA[[#This Row],[Work Completiuon time on fualt]]-GA[[#This Row],[Fault Time]])*24</f>
        <v>0.84999999999999964</v>
      </c>
      <c r="Z47" s="2" t="s">
        <v>337</v>
      </c>
      <c r="AA47" s="2" t="s">
        <v>249</v>
      </c>
      <c r="AB47" s="2">
        <f>IFERROR(GA[[#This Row],[Plant Equivalent Weightage]]*GA[[#This Row],[Resolution Time]],"")</f>
        <v>0.84999999999999964</v>
      </c>
      <c r="AC47" s="2">
        <v>85</v>
      </c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I126" sqref="I126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J113" activePane="bottomRight" state="frozen"/>
      <selection pane="topRight" activeCell="I2" sqref="I2"/>
      <selection pane="bottomLeft" activeCell="A3" sqref="A3"/>
      <selection pane="bottomRight" activeCell="P128" sqref="P128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O108">
        <v>9</v>
      </c>
      <c r="P108">
        <v>15</v>
      </c>
      <c r="Q108" s="2">
        <f>SUM(GC[[#This Row],[IC1_Inv1_GC]:[IC2_Inv2_GC]])</f>
        <v>32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O110">
        <v>18</v>
      </c>
      <c r="Q110" s="2">
        <f>SUM(GC[[#This Row],[IC1_Inv1_GC]:[IC2_Inv2_GC]])</f>
        <v>18</v>
      </c>
      <c r="R110" t="s">
        <v>524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 t="s">
        <v>155</v>
      </c>
      <c r="E111" s="2" t="s">
        <v>155</v>
      </c>
      <c r="F111" s="18">
        <v>45839</v>
      </c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 t="s">
        <v>155</v>
      </c>
      <c r="E112" s="2" t="s">
        <v>155</v>
      </c>
      <c r="F112" s="18">
        <v>45839</v>
      </c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 t="s">
        <v>155</v>
      </c>
      <c r="E113" s="2" t="s">
        <v>155</v>
      </c>
      <c r="F113" s="18">
        <v>45839</v>
      </c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 t="s">
        <v>155</v>
      </c>
      <c r="E114" s="2" t="s">
        <v>155</v>
      </c>
      <c r="F114" s="18">
        <v>45839</v>
      </c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 t="s">
        <v>155</v>
      </c>
      <c r="E115" s="2" t="s">
        <v>155</v>
      </c>
      <c r="F115" s="18">
        <v>45839</v>
      </c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 t="s">
        <v>155</v>
      </c>
      <c r="E116" s="2" t="s">
        <v>155</v>
      </c>
      <c r="F116" s="18">
        <v>45839</v>
      </c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 t="s">
        <v>155</v>
      </c>
      <c r="E117" s="2" t="s">
        <v>155</v>
      </c>
      <c r="F117" s="18">
        <v>45839</v>
      </c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 t="s">
        <v>155</v>
      </c>
      <c r="E118" s="2" t="s">
        <v>155</v>
      </c>
      <c r="F118" s="18">
        <v>45839</v>
      </c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 t="s">
        <v>155</v>
      </c>
      <c r="E119" s="2" t="s">
        <v>155</v>
      </c>
      <c r="F119" s="18">
        <v>45839</v>
      </c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528</v>
      </c>
    </row>
    <row r="120" spans="1:18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 t="s">
        <v>155</v>
      </c>
      <c r="E120" s="2" t="s">
        <v>155</v>
      </c>
      <c r="F120" s="18">
        <v>45839</v>
      </c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 t="s">
        <v>155</v>
      </c>
      <c r="E121" s="2" t="s">
        <v>155</v>
      </c>
      <c r="F121" s="18">
        <v>45839</v>
      </c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 t="s">
        <v>155</v>
      </c>
      <c r="E122" s="2" t="s">
        <v>155</v>
      </c>
      <c r="F122" s="18">
        <v>45839</v>
      </c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 t="s">
        <v>155</v>
      </c>
      <c r="E123" s="2" t="s">
        <v>155</v>
      </c>
      <c r="F123" s="18">
        <v>45839</v>
      </c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 t="s">
        <v>155</v>
      </c>
      <c r="E124" s="2" t="s">
        <v>155</v>
      </c>
      <c r="F124" s="18">
        <v>45839</v>
      </c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 t="s">
        <v>155</v>
      </c>
      <c r="E125" s="2" t="s">
        <v>155</v>
      </c>
      <c r="F125" s="18">
        <v>45839</v>
      </c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 t="s">
        <v>155</v>
      </c>
      <c r="E126" s="2" t="s">
        <v>155</v>
      </c>
      <c r="F126" s="18">
        <v>45839</v>
      </c>
      <c r="G126" s="2"/>
      <c r="H126" s="19">
        <f t="shared" si="12"/>
        <v>45868</v>
      </c>
      <c r="O126">
        <v>32</v>
      </c>
      <c r="Q126" s="2">
        <f>SUM(GC[[#This Row],[IC1_Inv1_GC]:[IC2_Inv2_GC]])</f>
        <v>32</v>
      </c>
      <c r="R126" t="s">
        <v>524</v>
      </c>
    </row>
    <row r="127" spans="1:18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 t="s">
        <v>155</v>
      </c>
      <c r="E127" s="2" t="s">
        <v>155</v>
      </c>
      <c r="F127" s="18">
        <v>45839</v>
      </c>
      <c r="G127" s="2"/>
      <c r="H127" s="19">
        <f t="shared" si="12"/>
        <v>45869</v>
      </c>
      <c r="O127">
        <v>28</v>
      </c>
      <c r="Q127" s="2">
        <f>SUM(GC[[#This Row],[IC1_Inv1_GC]:[IC2_Inv2_GC]])</f>
        <v>28</v>
      </c>
      <c r="R127" t="s">
        <v>524</v>
      </c>
    </row>
    <row r="128" spans="1:18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2025-07-31T18:13:00Z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