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-my.sharepoint.com/personal/vaibhav_todakar_o2power_in/Documents/Desktop/Daily Report/Daily Reports to management/"/>
    </mc:Choice>
  </mc:AlternateContent>
  <xr:revisionPtr revIDLastSave="276" documentId="13_ncr:1_{4404795E-A4FE-45B0-8E81-DA2AB2E0CB77}" xr6:coauthVersionLast="47" xr6:coauthVersionMax="47" xr10:uidLastSave="{707E3175-5682-4710-A0CF-2EBAF3CD1109}"/>
  <bookViews>
    <workbookView xWindow="-120" yWindow="-120" windowWidth="20730" windowHeight="1104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6" l="1"/>
  <c r="AE198" i="3"/>
  <c r="AE199" i="3"/>
  <c r="AE200" i="3"/>
  <c r="AE201" i="3"/>
  <c r="AC198" i="3"/>
  <c r="AC199" i="3"/>
  <c r="AC200" i="3"/>
  <c r="AC201" i="3"/>
  <c r="C198" i="3"/>
  <c r="D198" i="3"/>
  <c r="C199" i="3"/>
  <c r="D199" i="3"/>
  <c r="C200" i="3"/>
  <c r="D200" i="3"/>
  <c r="C201" i="3"/>
  <c r="D201" i="3"/>
  <c r="AE192" i="3"/>
  <c r="AE193" i="3"/>
  <c r="AE194" i="3"/>
  <c r="AE195" i="3"/>
  <c r="AE196" i="3"/>
  <c r="AE197" i="3"/>
  <c r="AC193" i="3"/>
  <c r="AC194" i="3"/>
  <c r="AC195" i="3"/>
  <c r="AC196" i="3"/>
  <c r="AC197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BP126" i="1"/>
  <c r="BQ126" i="1"/>
  <c r="BP127" i="1"/>
  <c r="BQ127" i="1"/>
  <c r="BP128" i="1"/>
  <c r="BQ128" i="1"/>
  <c r="AE190" i="3"/>
  <c r="AC190" i="3"/>
  <c r="C190" i="3"/>
  <c r="D190" i="3"/>
  <c r="AE189" i="3"/>
  <c r="N189" i="3"/>
  <c r="M189" i="3"/>
  <c r="D189" i="3"/>
  <c r="C189" i="3"/>
  <c r="AE188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H188" i="3" s="1"/>
  <c r="G189" i="3"/>
  <c r="G190" i="3"/>
  <c r="H190" i="3" s="1"/>
  <c r="G191" i="3"/>
  <c r="G192" i="3"/>
  <c r="H192" i="3" s="1"/>
  <c r="G193" i="3"/>
  <c r="H193" i="3" s="1"/>
  <c r="G194" i="3"/>
  <c r="H194" i="3" s="1"/>
  <c r="G195" i="3"/>
  <c r="H195" i="3" s="1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2" i="3"/>
  <c r="M193" i="3"/>
  <c r="M194" i="3"/>
  <c r="M195" i="3"/>
  <c r="M196" i="3"/>
  <c r="M197" i="3"/>
  <c r="M198" i="3"/>
  <c r="M199" i="3"/>
  <c r="M200" i="3"/>
  <c r="M201" i="3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2" i="3"/>
  <c r="N193" i="3"/>
  <c r="N194" i="3"/>
  <c r="N195" i="3"/>
  <c r="N196" i="3"/>
  <c r="N197" i="3"/>
  <c r="N198" i="3"/>
  <c r="N199" i="3"/>
  <c r="N200" i="3"/>
  <c r="N201" i="3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AC191" i="3" s="1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207" i="3"/>
  <c r="AE223" i="3"/>
  <c r="AE239" i="3"/>
  <c r="AE242" i="3"/>
  <c r="AC192" i="3" l="1"/>
  <c r="H191" i="3"/>
  <c r="AE191" i="3"/>
  <c r="H187" i="3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9" i="1"/>
  <c r="BQ130" i="1"/>
  <c r="BQ131" i="1"/>
  <c r="BQ132" i="1"/>
  <c r="BQ133" i="1"/>
  <c r="BQ134" i="1"/>
  <c r="BM130" i="1" l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9" i="1" l="1"/>
  <c r="BM129" i="1" s="1"/>
  <c r="BA125" i="1"/>
  <c r="BM125" i="1" s="1"/>
  <c r="BA128" i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7" i="21" l="1"/>
  <c r="U286" i="2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<sst xmlns="http://schemas.openxmlformats.org/spreadsheetml/2006/main" count="8538" uniqueCount="967">
  <si>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</si>
  <si>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</si>
  <si>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</si>
  <si>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</si>
  <si>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</si>
  <si>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</si>
  <si>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</si>
  <si>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</si>
  <si>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</si>
  <si>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</si>
  <si>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</si>
  <si>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</si>
  <si>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</si>
  <si>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</si>
  <si>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</si>
  <si>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</si>
  <si>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</si>
  <si>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</si>
  <si>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</si>
  <si>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</si>
  <si>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</si>
  <si>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</si>
  <si>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</si>
  <si>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</si>
  <si>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</si>
  <si>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</si>
  <si>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</si>
  <si>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</si>
  <si>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</si>
  <si>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</si>
  <si>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</si>
  <si>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</si>
  <si>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</si>
  <si>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</si>
  <si>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</si>
  <si>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</si>
  <si>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</si>
  <si>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</si>
  <si>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</si>
  <si>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</si>
  <si>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</si>
  <si>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</si>
  <si>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</si>
  <si>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</si>
  <si>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</si>
  <si>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</si>
  <si>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</si>
  <si>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</si>
  <si>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</si>
  <si>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</si>
  <si>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</si>
  <si>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</si>
  <si>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</si>
  <si>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</si>
  <si>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</si>
  <si>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</si>
  <si>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</si>
  <si>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</si>
  <si>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</si>
  <si>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</si>
  <si>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</si>
  <si>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</si>
  <si>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</si>
  <si>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</si>
  <si>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</si>
  <si>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</si>
  <si>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</si>
  <si>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</si>
  <si>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</si>
  <si>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</si>
  <si>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</si>
  <si>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</si>
  <si>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</si>
  <si>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</si>
  <si>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</si>
  <si>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</si>
  <si>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</si>
  <si>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</si>
  <si>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</si>
  <si>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</si>
  <si>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</si>
  <si>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</si>
  <si>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</si>
  <si>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</si>
  <si>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</si>
  <si>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</si>
  <si>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</si>
  <si>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</si>
  <si>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</si>
  <si>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</si>
  <si>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</si>
  <si>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</si>
  <si>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</si>
  <si>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</si>
  <si>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</si>
  <si>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</si>
  <si>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</si>
  <si>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</si>
  <si>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</si>
  <si>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</si>
  <si>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</si>
  <si>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</si>
  <si>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</si>
  <si>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</si>
  <si>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</si>
  <si>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</si>
  <si>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</si>
  <si>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</si>
  <si>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</si>
  <si>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</si>
  <si>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</si>
  <si>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</si>
  <si>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</si>
  <si>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</si>
  <si>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</si>
  <si>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</si>
  <si>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</si>
  <si>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</si>
  <si>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</si>
  <si>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</si>
  <si>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</si>
  <si>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</si>
  <si>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</si>
  <si>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</si>
  <si>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</si>
  <si>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</si>
  <si>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</si>
  <si>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</si>
  <si>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</si>
  <si>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</si>
  <si>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</si>
  <si>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</si>
  <si>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</si>
  <si>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</si>
  <si>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</si>
  <si>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</si>
  <si>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</si>
  <si>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</si>
  <si>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</si>
  <si>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</si>
  <si>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</si>
  <si>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</si>
  <si>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</si>
  <si>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</si>
  <si>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</si>
  <si>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</si>
  <si>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</si>
  <si>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</si>
  <si>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</si>
  <si>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</si>
  <si>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</si>
  <si>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</si>
  <si>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</si>
  <si>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</si>
  <si>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</si>
  <si>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</si>
  <si>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</si>
  <si>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</si>
  <si>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</si>
  <si>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</si>
  <si>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</si>
  <si>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</si>
  <si>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</si>
  <si>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</si>
  <si>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</si>
  <si>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</si>
  <si>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</si>
  <si>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</si>
  <si>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</si>
  <si>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</si>
  <si>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</si>
  <si>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</si>
  <si>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</si>
  <si>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</si>
  <si>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</si>
  <si>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</si>
  <si>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</si>
  <si>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</si>
  <si>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</si>
  <si>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</si>
  <si>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</si>
  <si>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</si>
  <si>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</si>
  <si>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</si>
  <si>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</si>
  <si>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</si>
  <si>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</si>
  <si>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</si>
  <si>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</si>
  <si>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</si>
  <si>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</si>
  <si>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</si>
  <si>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</si>
  <si>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</si>
  <si>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</si>
  <si>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</si>
  <si>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</si>
  <si>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</si>
  <si>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</si>
  <si>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</si>
  <si>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</si>
  <si>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</si>
  <si>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</si>
  <si>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</si>
  <si>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</si>
  <si>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</si>
  <si>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</si>
  <si>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</si>
  <si>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</si>
  <si>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</si>
  <si>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</si>
  <si>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</si>
  <si>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</si>
  <si>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</si>
  <si>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</si>
  <si>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</si>
  <si>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</si>
  <si>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</si>
  <si>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</si>
  <si>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</si>
  <si>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</si>
  <si>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</si>
  <si>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</si>
  <si>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</si>
  <si>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</si>
  <si>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</si>
  <si>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</si>
  <si>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</si>
  <si>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</si>
  <si>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</si>
  <si>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</si>
  <si>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</si>
  <si>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</si>
  <si>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</si>
  <si>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</si>
  <si>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</si>
  <si>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</si>
  <si>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</si>
  <si>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</si>
  <si>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</si>
  <si>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</si>
  <si>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</si>
  <si>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</si>
  <si>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</si>
  <si>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</si>
  <si>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</si>
  <si>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</si>
  <si>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</si>
  <si>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</si>
  <si>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</si>
  <si>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</si>
  <si>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</si>
  <si>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</si>
  <si>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</si>
  <si>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</si>
  <si>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</si>
  <si>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</si>
  <si>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</si>
  <si>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</si>
  <si>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</si>
  <si>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</si>
  <si>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</si>
  <si>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</si>
  <si>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</si>
  <si>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</si>
  <si>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</si>
  <si>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</si>
  <si>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</si>
  <si>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</si>
  <si>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</si>
  <si>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</si>
  <si>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</si>
  <si>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</si>
  <si>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</si>
  <si>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</si>
  <si>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</si>
  <si>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</si>
  <si>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</si>
  <si>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</si>
  <si>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</si>
  <si>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</si>
  <si>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</si>
  <si>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</si>
  <si>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</si>
  <si>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</si>
  <si>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</si>
  <si>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</si>
  <si>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</si>
  <si>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</si>
  <si>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</si>
  <si>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</si>
  <si>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</si>
  <si>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</si>
  <si>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</si>
  <si>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</si>
  <si>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</si>
  <si>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</si>
  <si>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</si>
  <si>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</si>
  <si>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</si>
  <si>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</si>
  <si>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</si>
  <si>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</si>
  <si>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</si>
  <si>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</si>
  <si>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</si>
  <si>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</si>
  <si>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</si>
  <si>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</si>
  <si>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</si>
  <si>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</si>
  <si>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</si>
  <si>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</si>
  <si>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</si>
  <si>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</si>
  <si>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</si>
  <si>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</si>
  <si>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</si>
  <si>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</si>
  <si>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</si>
  <si>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</si>
  <si>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</si>
  <si>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</si>
  <si>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</si>
  <si>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</si>
  <si>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</si>
  <si>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</si>
  <si>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</si>
  <si>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</si>
  <si>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</si>
  <si>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</si>
  <si>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</si>
  <si>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</si>
  <si>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</si>
  <si>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</si>
  <si>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</si>
  <si>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</si>
  <si>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</si>
  <si>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</si>
  <si>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</si>
  <si>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</si>
  <si>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</si>
  <si>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</si>
  <si>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</si>
  <si>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</si>
  <si>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</si>
  <si>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</si>
  <si>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</si>
  <si>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</si>
  <si>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</si>
  <si>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</si>
  <si>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</si>
  <si>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</si>
  <si>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</si>
  <si>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</si>
  <si>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</si>
  <si>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</si>
  <si>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</si>
  <si>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</si>
  <si>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</si>
  <si>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</si>
  <si>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</si>
  <si>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</si>
  <si>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</si>
  <si>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</si>
  <si>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</si>
  <si>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</si>
  <si>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</si>
  <si>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</si>
  <si>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</si>
  <si>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</si>
  <si>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</si>
  <si>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</si>
  <si>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</si>
  <si>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</si>
  <si>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</si>
  <si>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</si>
  <si>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</si>
  <si>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</si>
  <si>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</si>
  <si>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</si>
  <si>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</si>
  <si>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</si>
  <si>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</si>
  <si>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</si>
  <si>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</si>
  <si>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</si>
  <si>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</si>
  <si>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</si>
  <si>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</si>
  <si>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</si>
  <si>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</si>
  <si>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</si>
  <si>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</si>
  <si>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</si>
  <si>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</si>
  <si>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</si>
  <si>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</si>
  <si>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</si>
  <si>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</si>
  <si>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</si>
  <si>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</si>
  <si>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</si>
  <si>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</si>
  <si>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</si>
  <si>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</si>
  <si>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</si>
  <si>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</si>
  <si>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</si>
  <si>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</si>
  <si>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</si>
  <si>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</si>
  <si>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</si>
  <si>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</si>
  <si>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</si>
  <si>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</si>
  <si>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</si>
  <si>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</si>
  <si>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</si>
  <si>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</si>
  <si>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</si>
  <si>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</si>
  <si>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</si>
  <si>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</si>
  <si>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</si>
  <si>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</si>
  <si>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</si>
  <si>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</si>
  <si>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</si>
  <si>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</si>
  <si>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</si>
  <si>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</si>
  <si>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</si>
  <si>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</si>
  <si>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</si>
  <si>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</si>
  <si>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</si>
  <si>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</si>
  <si>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</si>
  <si>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</si>
  <si>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</si>
  <si>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</si>
  <si>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</si>
  <si>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</si>
  <si>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</si>
  <si>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</si>
  <si>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</si>
  <si>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</si>
  <si>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</si>
  <si>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</si>
  <si>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</si>
  <si>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</si>
  <si>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</si>
  <si>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</si>
  <si>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</si>
  <si>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</si>
  <si>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</si>
  <si>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</si>
  <si>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</si>
  <si>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</si>
  <si>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</si>
  <si>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</si>
  <si>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</si>
  <si>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</si>
  <si>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</si>
  <si>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</si>
  <si>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</si>
  <si>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</si>
  <si>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</si>
  <si>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</si>
  <si>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</si>
  <si>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</si>
  <si>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</si>
  <si>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</si>
  <si>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</si>
  <si>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</si>
  <si>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</si>
  <si>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</si>
  <si>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</si>
  <si>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</si>
  <si>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</si>
  <si>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</si>
  <si>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</si>
  <si>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</si>
  <si>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</si>
  <si>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</si>
  <si>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</si>
  <si>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</si>
  <si>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</si>
  <si>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</si>
  <si>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</si>
  <si>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</si>
  <si>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</si>
  <si>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</si>
  <si>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</si>
  <si>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</si>
  <si>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</si>
  <si>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</si>
  <si>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</si>
  <si>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</si>
  <si>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</si>
  <si>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</si>
  <si>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</si>
  <si>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</si>
  <si>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</si>
  <si>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</si>
  <si>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</si>
  <si>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</si>
  <si>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</si>
  <si>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</si>
  <si>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</si>
  <si>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</si>
  <si>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</si>
  <si>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</si>
  <si>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</si>
  <si>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</si>
  <si>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</si>
  <si>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</si>
  <si>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</si>
  <si>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</si>
  <si>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</si>
  <si>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</si>
  <si>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</si>
  <si>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</si>
  <si>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</si>
  <si>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</si>
  <si>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</si>
  <si>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</si>
  <si>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</si>
  <si>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</si>
  <si>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</si>
  <si>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</si>
  <si>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</si>
  <si>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</si>
  <si>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</si>
  <si>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</si>
  <si>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</si>
  <si>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</si>
  <si>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</si>
  <si>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</si>
  <si>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</si>
  <si>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</si>
  <si>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</si>
  <si>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</si>
  <si>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</si>
  <si>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</si>
  <si>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</si>
  <si>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</si>
  <si>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</si>
  <si>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</si>
  <si>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</si>
  <si>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</si>
  <si>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</si>
  <si>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</si>
  <si>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</si>
  <si>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</si>
  <si>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</si>
  <si>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</si>
  <si>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</si>
  <si>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</si>
  <si>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</si>
  <si>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</si>
  <si>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</si>
  <si>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</si>
  <si>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</si>
  <si>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</si>
  <si>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</si>
  <si>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</si>
  <si>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</si>
  <si>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</si>
  <si>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</si>
  <si>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</si>
  <si>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</si>
  <si>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</si>
  <si>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</si>
  <si>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</si>
  <si>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</si>
  <si>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</si>
  <si>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</si>
  <si>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</si>
  <si>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</si>
  <si>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</si>
  <si>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</si>
  <si>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</si>
  <si>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</si>
  <si>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</si>
  <si>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</si>
  <si>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</si>
  <si>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</si>
  <si>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</si>
  <si>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</si>
  <si>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</si>
  <si>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</si>
  <si>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</si>
  <si>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</si>
  <si>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</si>
  <si>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</si>
  <si>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</si>
  <si>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</si>
  <si>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</si>
  <si>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</si>
  <si>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</si>
  <si>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</si>
  <si>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</si>
  <si>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</si>
  <si>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</si>
  <si>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</si>
  <si>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</si>
  <si>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</si>
  <si>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</si>
  <si>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</si>
  <si>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</si>
  <si>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</si>
  <si>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</si>
  <si>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</si>
  <si>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</si>
  <si>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</si>
  <si>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</si>
  <si>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</si>
  <si>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</si>
  <si>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</si>
  <si>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</si>
  <si>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</si>
  <si>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</si>
  <si>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</si>
  <si>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</si>
  <si>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</si>
  <si>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</si>
  <si>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</si>
  <si>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</si>
  <si>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</si>
  <si>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</si>
  <si>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</si>
  <si>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</si>
  <si>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</si>
  <si>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</si>
  <si>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</si>
  <si>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</si>
  <si>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</si>
  <si>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</si>
  <si>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</si>
  <si>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</si>
  <si>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</si>
  <si>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</si>
  <si>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</si>
  <si>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</si>
  <si>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</si>
  <si>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</si>
  <si>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</si>
  <si>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</si>
  <si>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</si>
  <si>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</si>
  <si>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</si>
  <si>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</si>
  <si>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</si>
  <si>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</si>
  <si>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</si>
  <si>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</si>
  <si>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</si>
  <si>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</si>
  <si>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</si>
  <si>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</si>
  <si>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</si>
  <si>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</si>
  <si>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</si>
  <si>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</si>
  <si>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</si>
  <si>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</si>
  <si>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</si>
  <si>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</si>
  <si>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</si>
  <si>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</si>
  <si>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</si>
  <si>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</si>
  <si>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</si>
  <si>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</si>
  <si>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</si>
  <si>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</si>
  <si>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</si>
  <si>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</si>
  <si>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</si>
  <si>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</si>
  <si>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</si>
  <si>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</si>
  <si>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</si>
  <si>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</si>
  <si>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</si>
  <si>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</si>
  <si>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</si>
  <si>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</si>
  <si>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</si>
  <si>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</si>
  <si>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</si>
  <si>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</si>
  <si>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</si>
  <si>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</si>
  <si>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</si>
  <si>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</si>
  <si>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</si>
  <si>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</si>
  <si>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</si>
  <si>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</si>
  <si>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</si>
  <si>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</si>
  <si>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</si>
  <si>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</si>
  <si>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</si>
  <si>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</si>
  <si>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</si>
  <si>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</si>
  <si>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</si>
  <si>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</si>
  <si>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</si>
  <si>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</si>
  <si>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</si>
  <si>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</si>
  <si>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</si>
  <si>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</si>
  <si>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</si>
  <si>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</si>
  <si>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</si>
  <si>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</si>
  <si>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</si>
  <si>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</si>
  <si>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</si>
  <si>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</si>
  <si>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</si>
  <si>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</si>
  <si>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</si>
  <si>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</si>
  <si>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</si>
  <si>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</si>
  <si>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</si>
  <si>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</si>
  <si>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</si>
  <si>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</si>
  <si>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</si>
  <si>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</si>
  <si>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</si>
  <si>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</si>
  <si>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</si>
  <si>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</si>
  <si>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</si>
  <si>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</si>
  <si>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</si>
  <si>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</si>
  <si>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</si>
  <si>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</si>
  <si>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</si>
  <si>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</si>
  <si>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</si>
  <si>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</si>
  <si>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</si>
  <si>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</si>
  <si>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</si>
  <si>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</si>
  <si>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</si>
  <si>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</si>
  <si>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</si>
  <si>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</si>
  <si>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</si>
  <si>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</si>
  <si>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</si>
  <si>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</si>
  <si>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</si>
  <si>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</si>
  <si>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</si>
  <si>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</si>
  <si>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</si>
  <si>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</si>
  <si>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</si>
  <si>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</si>
  <si>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</si>
  <si>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</si>
  <si>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</si>
  <si>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</si>
  <si>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</si>
  <si>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</si>
  <si>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</si>
  <si>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</si>
  <si>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</si>
  <si>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</si>
  <si>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</si>
  <si>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</si>
  <si>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</si>
  <si>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</si>
  <si>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</si>
  <si>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</si>
  <si>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</si>
  <si>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</si>
  <si>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</si>
  <si>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</si>
  <si>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</si>
  <si>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</si>
  <si>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</si>
  <si>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</si>
  <si>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</si>
  <si>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</si>
  <si>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</si>
  <si>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</si>
  <si>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</si>
  <si>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</si>
  <si>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</si>
  <si>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</si>
  <si>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</si>
  <si>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</si>
  <si>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</si>
  <si>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</si>
  <si>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</si>
  <si>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</si>
  <si>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</si>
  <si>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</si>
  <si>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</si>
  <si>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</si>
  <si>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</si>
  <si>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</si>
  <si>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</si>
  <si>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</si>
  <si>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</si>
  <si>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</si>
  <si>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</si>
  <si>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</si>
  <si>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</si>
  <si>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</si>
  <si>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</si>
  <si>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</si>
  <si>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</si>
  <si>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</si>
  <si>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</si>
  <si>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</si>
  <si>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</si>
  <si>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</si>
  <si>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</si>
  <si>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</si>
  <si>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</si>
  <si>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</si>
  <si>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</si>
  <si>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</si>
  <si>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</si>
  <si>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</si>
  <si>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</si>
  <si>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</si>
  <si>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</si>
  <si>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</si>
  <si>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</si>
  <si>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</si>
  <si>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</si>
  <si>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</si>
  <si>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</si>
  <si>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</si>
  <si>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</si>
  <si>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</si>
  <si>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</si>
  <si>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</si>
  <si>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</si>
  <si>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</si>
  <si>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</si>
  <si>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</si>
  <si>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</si>
  <si>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</si>
  <si>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</si>
  <si>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</si>
  <si>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</si>
  <si>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</si>
  <si>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</si>
  <si>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</si>
  <si>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</si>
  <si>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</si>
  <si>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</si>
  <si>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</si>
  <si>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</si>
  <si>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</si>
  <si>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</si>
  <si>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</si>
  <si>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</si>
  <si>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</si>
  <si>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</si>
  <si>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</si>
  <si>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</si>
  <si>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</si>
  <si>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</si>
  <si>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</si>
  <si>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</si>
  <si>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</si>
  <si>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</si>
  <si>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</si>
  <si>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</si>
  <si>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</si>
  <si>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</si>
  <si>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</si>
  <si>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</si>
  <si>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</si>
  <si>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</si>
  <si>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</si>
  <si>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</si>
  <si>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</si>
  <si>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</si>
  <si>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</si>
  <si>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</si>
  <si>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</si>
  <si>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</si>
  <si>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</si>
  <si>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</si>
  <si>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</si>
  <si>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</si>
  <si>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</si>
  <si>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</si>
  <si>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</si>
  <si>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</si>
  <si>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</si>
  <si>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</si>
  <si>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</si>
  <si>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</si>
  <si>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</si>
  <si>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</si>
  <si>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</si>
  <si>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</si>
  <si>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</si>
  <si>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</si>
  <si>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</si>
  <si>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</si>
  <si>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</si>
  <si>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</si>
  <si>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</si>
  <si>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</si>
  <si>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</si>
  <si>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</si>
  <si>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</si>
  <si>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</si>
  <si>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</si>
  <si>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</si>
  <si>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</si>
  <si>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</si>
  <si>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</si>
  <si>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</si>
  <si>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</si>
  <si>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</si>
  <si>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</si>
  <si>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</si>
  <si>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</si>
  <si>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</si>
  <si>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</si>
  <si>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</si>
  <si>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</si>
  <si>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</si>
  <si>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</si>
  <si>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</si>
  <si>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</si>
  <si>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</si>
  <si>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</si>
  <si>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</si>
  <si>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</si>
  <si>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</si>
  <si>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</si>
  <si>
    <t>INV 02 SCB 03</t>
  </si>
  <si>
    <t xml:space="preserve"> Inv 02 - SCB 02 R16S11- string both cable cut observed.</t>
  </si>
  <si>
    <t xml:space="preserve"> Inv 02 - SCB 02 R16S14- string both cable cut observed.</t>
  </si>
  <si>
    <t xml:space="preserve"> Inv 02 - SCB 03 R18S02- string both cable cut observed.</t>
  </si>
  <si>
    <t xml:space="preserve"> Inv 02 - SCB 03 R18S03- string both cable cut observed.</t>
  </si>
  <si>
    <t xml:space="preserve"> Inv 02 - SCB 03 R18S08- string both cable cut observed.</t>
  </si>
  <si>
    <t xml:space="preserve"> Inv 02 - SCB 03 R17S02- string both cable cut observed.</t>
  </si>
  <si>
    <t>inv 09  scb 06</t>
  </si>
  <si>
    <t xml:space="preserve"> Inv 09 - SCB 06 R25S10 - string both cable cut observed.</t>
  </si>
  <si>
    <t xml:space="preserve"> Inv 09 - SCB 06 R25S11 - string both cable cut observed.</t>
  </si>
  <si>
    <t xml:space="preserve"> Inv 09 - SCB 06 R25S12 - string both cable cut observed.</t>
  </si>
  <si>
    <t xml:space="preserve"> Inv 09 - SCB 06 R24S09 - string positive cable cut observed.</t>
  </si>
  <si>
    <t>so positive cable replaced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</si>
</sst>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zoomScaleNormal="100" workbookViewId="0">
      <selection activeCell="L11" sqref="L11"/>
    </sheetView>
  </sheetViews>
  <sheetFormatPr defaultColWidth="8.85546875" defaultRowHeight="15" x14ac:dyDescent="0.2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.75" thickBot="1" x14ac:dyDescent="0.3"/>
    <row r="3" spans="1:6" ht="15.75" x14ac:dyDescent="0.25">
      <c r="A3" s="346" t="s">
        <v>0</v>
      </c>
      <c r="B3" s="347"/>
      <c r="C3" s="347"/>
      <c r="D3" s="347"/>
      <c r="E3" s="347"/>
      <c r="F3" s="348"/>
    </row>
    <row r="4" spans="1:6" x14ac:dyDescent="0.2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25">
      <c r="A5" s="103" t="s">
        <v>2</v>
      </c>
      <c r="B5" s="351">
        <v>45869</v>
      </c>
      <c r="C5" s="351"/>
      <c r="D5" s="351"/>
      <c r="E5" s="351"/>
      <c r="F5" s="352"/>
    </row>
    <row r="6" spans="1:6" x14ac:dyDescent="0.2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25">
      <c r="A7" s="103" t="s">
        <v>5</v>
      </c>
      <c r="B7" s="355">
        <v>45748</v>
      </c>
      <c r="C7" s="355"/>
      <c r="D7" s="355"/>
      <c r="E7" s="355"/>
      <c r="F7" s="356"/>
    </row>
    <row r="8" spans="1:6" ht="15.75" thickBot="1" x14ac:dyDescent="0.3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3">
      <c r="A9" s="289"/>
      <c r="B9" s="57"/>
      <c r="C9" s="57"/>
      <c r="D9" s="57"/>
      <c r="E9" s="57"/>
      <c r="F9" s="290"/>
    </row>
    <row r="10" spans="1:6" ht="15.75" thickBot="1" x14ac:dyDescent="0.3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2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88.020400000012046</v>
      </c>
      <c r="E11" s="287">
        <f>-(C11-D11)/C11</f>
        <v>0.13608772756027449</v>
      </c>
      <c r="F11" s="121"/>
    </row>
    <row r="12" spans="1:6" x14ac:dyDescent="0.25">
      <c r="A12" s="358"/>
      <c r="B12" s="108" t="s">
        <v>14</v>
      </c>
      <c r="C12" s="109">
        <f>'Monthly KPI'!$E$4</f>
        <v>2401.779663494875</v>
      </c>
      <c r="D12" s="112">
        <f>'Monthly KPI'!F4</f>
        <v>2199.5125000000066</v>
      </c>
      <c r="E12" s="287">
        <f t="shared" ref="E12:E28" si="0">-(C12-D12)/C12</f>
        <v>-8.4215536741012106E-2</v>
      </c>
      <c r="F12" s="294"/>
    </row>
    <row r="13" spans="1:6" ht="15.75" thickBot="1" x14ac:dyDescent="0.3">
      <c r="A13" s="359"/>
      <c r="B13" s="117" t="s">
        <v>15</v>
      </c>
      <c r="C13" s="122">
        <f>'Annual KPI'!$E$4</f>
        <v>12466.605824862821</v>
      </c>
      <c r="D13" s="123">
        <f>'Annual KPI'!F4</f>
        <v>11129.463200000006</v>
      </c>
      <c r="E13" s="287">
        <f t="shared" si="0"/>
        <v>-0.10725795325910446</v>
      </c>
      <c r="F13" s="295"/>
    </row>
    <row r="14" spans="1:6" x14ac:dyDescent="0.2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0.1509073602407581</v>
      </c>
      <c r="E14" s="287">
        <f t="shared" si="0"/>
        <v>0.13608772756027443</v>
      </c>
      <c r="F14" s="296"/>
    </row>
    <row r="15" spans="1:6" x14ac:dyDescent="0.25">
      <c r="A15" s="358"/>
      <c r="B15" s="108" t="s">
        <v>17</v>
      </c>
      <c r="C15" s="113">
        <f>'Monthly KPI'!I4</f>
        <v>0.1328307282790816</v>
      </c>
      <c r="D15" s="114">
        <f>'Monthly KPI'!J4</f>
        <v>0.1216443172013592</v>
      </c>
      <c r="E15" s="287">
        <f t="shared" si="0"/>
        <v>-8.4215536741012204E-2</v>
      </c>
      <c r="F15" s="294"/>
    </row>
    <row r="16" spans="1:6" ht="15.75" thickBot="1" x14ac:dyDescent="0.3">
      <c r="A16" s="359"/>
      <c r="B16" s="117" t="s">
        <v>18</v>
      </c>
      <c r="C16" s="126">
        <f>'Annual KPI'!I4</f>
        <v>0.1751924885549864</v>
      </c>
      <c r="D16" s="118">
        <f>'Annual KPI'!J4</f>
        <v>0.15640170080620949</v>
      </c>
      <c r="E16" s="287">
        <f t="shared" si="0"/>
        <v>-0.10725795325910435</v>
      </c>
      <c r="F16" s="295"/>
    </row>
    <row r="17" spans="1:9" x14ac:dyDescent="0.2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0.80691685503831723</v>
      </c>
      <c r="E17" s="287">
        <f t="shared" si="0"/>
        <v>0.11534184754922251</v>
      </c>
      <c r="F17" s="297"/>
      <c r="I17" s="55" t="s">
        <v>20</v>
      </c>
    </row>
    <row r="18" spans="1:9" x14ac:dyDescent="0.25">
      <c r="A18" s="358"/>
      <c r="B18" s="108" t="s">
        <v>21</v>
      </c>
      <c r="C18" s="113">
        <f>'Monthly KPI'!$G$4</f>
        <v>0.72347043806469047</v>
      </c>
      <c r="D18" s="114">
        <f>'Monthly KPI'!H4</f>
        <v>0.79732057008357571</v>
      </c>
      <c r="E18" s="287">
        <f t="shared" si="0"/>
        <v>0.10207760833523068</v>
      </c>
      <c r="F18" s="294"/>
    </row>
    <row r="19" spans="1:9" ht="15.75" thickBot="1" x14ac:dyDescent="0.3">
      <c r="A19" s="359"/>
      <c r="B19" s="117" t="s">
        <v>22</v>
      </c>
      <c r="C19" s="126">
        <f>'Annual KPI'!$G$4</f>
        <v>0.74192017137547039</v>
      </c>
      <c r="D19" s="118">
        <f>'Annual KPI'!H4</f>
        <v>0.76032490761572125</v>
      </c>
      <c r="E19" s="287">
        <f t="shared" si="0"/>
        <v>2.4806895607285755E-2</v>
      </c>
      <c r="F19" s="295"/>
    </row>
    <row r="20" spans="1:9" x14ac:dyDescent="0.2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4.4884136738056011</v>
      </c>
      <c r="E20" s="287">
        <f t="shared" si="0"/>
        <v>1.8600467701124737E-2</v>
      </c>
      <c r="F20" s="297"/>
      <c r="H20" s="55" t="s">
        <v>20</v>
      </c>
    </row>
    <row r="21" spans="1:9" x14ac:dyDescent="0.25">
      <c r="A21" s="358"/>
      <c r="B21" s="108" t="s">
        <v>24</v>
      </c>
      <c r="C21" s="115">
        <f>'Monthly KPI'!$C$4</f>
        <v>136.6</v>
      </c>
      <c r="D21" s="112">
        <f>'Monthly KPI'!D4</f>
        <v>113.50939056836903</v>
      </c>
      <c r="E21" s="287">
        <f t="shared" si="0"/>
        <v>-0.16903813639554149</v>
      </c>
      <c r="F21" s="298"/>
    </row>
    <row r="22" spans="1:9" ht="15.75" thickBot="1" x14ac:dyDescent="0.3">
      <c r="A22" s="359"/>
      <c r="B22" s="117" t="s">
        <v>25</v>
      </c>
      <c r="C22" s="129">
        <f>'Annual KPI'!$C$4</f>
        <v>691.4</v>
      </c>
      <c r="D22" s="123">
        <f>'Annual KPI'!D4</f>
        <v>602.30064196717433</v>
      </c>
      <c r="E22" s="287">
        <f t="shared" si="0"/>
        <v>-0.12886803302404637</v>
      </c>
      <c r="F22" s="299"/>
    </row>
    <row r="23" spans="1:9" x14ac:dyDescent="0.2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0.99937335518893367</v>
      </c>
      <c r="E23" s="287">
        <f t="shared" si="0"/>
        <v>4.3953318481745425E-3</v>
      </c>
      <c r="F23" s="300"/>
    </row>
    <row r="24" spans="1:9" x14ac:dyDescent="0.2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0.96254935764567784</v>
      </c>
      <c r="E24" s="287">
        <f t="shared" si="0"/>
        <v>-3.2613710908866486E-2</v>
      </c>
      <c r="F24" s="298"/>
    </row>
    <row r="25" spans="1:9" ht="15.75" thickBot="1" x14ac:dyDescent="0.3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0.9689856588219895</v>
      </c>
      <c r="E25" s="287">
        <f t="shared" si="0"/>
        <v>-2.6145066510563308E-2</v>
      </c>
      <c r="F25" s="295"/>
    </row>
    <row r="26" spans="1:9" x14ac:dyDescent="0.2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2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.75" thickBot="1" x14ac:dyDescent="0.3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0.99209933133271022</v>
      </c>
      <c r="E28" s="291">
        <f t="shared" si="0"/>
        <v>-2.9152448917485166E-3</v>
      </c>
      <c r="F28" s="295"/>
    </row>
    <row r="29" spans="1:9" x14ac:dyDescent="0.25">
      <c r="F29" s="301"/>
    </row>
    <row r="30" spans="1:9" ht="15.75" thickBot="1" x14ac:dyDescent="0.3"/>
    <row r="31" spans="1:9" ht="15.75" x14ac:dyDescent="0.25">
      <c r="A31" s="341" t="s">
        <v>32</v>
      </c>
      <c r="B31" s="342"/>
      <c r="C31" s="342"/>
      <c r="D31" s="342"/>
      <c r="E31" s="342"/>
      <c r="F31" s="343"/>
    </row>
    <row r="32" spans="1:9" x14ac:dyDescent="0.2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25">
      <c r="A33" s="194" t="s">
        <v>2</v>
      </c>
      <c r="B33" s="198">
        <f>B5</f>
        <v>45869</v>
      </c>
      <c r="C33" s="196"/>
      <c r="D33" s="196"/>
      <c r="E33" s="196"/>
      <c r="F33" s="197"/>
    </row>
    <row r="34" spans="1:6" x14ac:dyDescent="0.2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2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.75" thickBot="1" x14ac:dyDescent="0.3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.75" thickBot="1" x14ac:dyDescent="0.3">
      <c r="A37" s="204"/>
      <c r="B37" s="205"/>
      <c r="C37" s="205"/>
      <c r="D37" s="206"/>
      <c r="E37" s="204"/>
      <c r="F37" s="205"/>
    </row>
    <row r="38" spans="1:6" ht="15.75" thickBot="1" x14ac:dyDescent="0.3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2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1834354.5543264919</v>
      </c>
      <c r="D39" s="115">
        <f>SUMIFS(RD[O2R6],RD[Month Year],$B$32)</f>
        <v>951767.3</v>
      </c>
      <c r="E39" s="110">
        <f>D39/C39-1</f>
        <v>-0.48114321860233056</v>
      </c>
      <c r="F39" s="111"/>
    </row>
    <row r="40" spans="1:6" x14ac:dyDescent="0.2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567425.10916838329</v>
      </c>
      <c r="D40" s="115">
        <f>SUMIFS(RD[O2R10],RD[Month Year],$B$32)</f>
        <v>286704.82999999996</v>
      </c>
      <c r="E40" s="110">
        <f>D40/C40-1</f>
        <v>-0.49472657207539905</v>
      </c>
      <c r="F40" s="111"/>
    </row>
    <row r="41" spans="1:6" x14ac:dyDescent="0.25">
      <c r="A41" s="193" t="s">
        <v>36</v>
      </c>
      <c r="B41" s="108" t="s">
        <v>14</v>
      </c>
      <c r="C41" s="115">
        <f>_xlfn.XLOOKUP($B$32,'Modelling New'!$D:$D,'Modelling New'!$U:$U)*1000</f>
        <v>2401779.6634948752</v>
      </c>
      <c r="D41" s="115">
        <f>SUMIFS(RD[PSEGPL],RD[Month Year],$B$32)</f>
        <v>984435</v>
      </c>
      <c r="E41" s="110">
        <f>D41/C41-1</f>
        <v>-0.59012268487296216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5" x14ac:dyDescent="0.2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 x14ac:dyDescent="0.25">
      <c r="A1" s="58" t="s">
        <v>37</v>
      </c>
      <c r="B1" s="59">
        <f>'Daily Dashboard'!B5</f>
        <v>45869</v>
      </c>
      <c r="C1" s="285">
        <f>'Daily Dashboard'!B4</f>
        <v>45839</v>
      </c>
      <c r="D1" s="92"/>
      <c r="E1" s="92"/>
      <c r="F1" s="92"/>
      <c r="G1" s="92"/>
    </row>
    <row r="2" spans="1:16" ht="21" x14ac:dyDescent="0.2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60" x14ac:dyDescent="0.2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 x14ac:dyDescent="0.25">
      <c r="A4" s="286">
        <f>YEAR($B$1)+IF(MONTH($B$1)&gt;=4,1,0)</f>
        <v>2026</v>
      </c>
      <c r="B4" s="50">
        <f>$B$1-('Daily Dashboard'!$B$7)+1</f>
        <v>122</v>
      </c>
      <c r="C4" s="50">
        <f>_xlfn.XLOOKUP($C$1,'Modelling New'!$D:$D,'Modelling New'!$S:$S,0)</f>
        <v>691.4</v>
      </c>
      <c r="D4" s="51">
        <f>SUMIFS('Daily KPI'!$I:$I,'Daily KPI'!$B:$B,'Annual KPI'!$A$4,'Daily KPI'!$A:$A,"&lt;="&amp;'Annual KPI'!$B$1)</f>
        <v>602.30064196717433</v>
      </c>
      <c r="E4" s="50">
        <f>_xlfn.XLOOKUP($C$1,'Modelling New'!$D:$D,'Modelling New'!$V:$V,0)</f>
        <v>12466.605824862821</v>
      </c>
      <c r="F4" s="51">
        <f>SUMIFS('Daily KPI'!$AA:$AA,'Daily KPI'!$B:$B,'Annual KPI'!$A$4,'Daily KPI'!$A:$A,"&lt;="&amp;'Annual KPI'!$B$1)/1000</f>
        <v>11129.463200000006</v>
      </c>
      <c r="G4" s="52">
        <f>IFERROR(E4/C4/_xlfn.XLOOKUP($C$1,'Modelling New'!$D:$D,'Modelling New'!$AA:$AA,0),"")</f>
        <v>0.74192017137547039</v>
      </c>
      <c r="H4" s="53">
        <f>IFERROR(F4/D4/_xlfn.XLOOKUP($C$1,'Modelling New'!$D:$D,'Modelling New'!$AA:$AA,0),"")</f>
        <v>0.76032490761572125</v>
      </c>
      <c r="I4" s="52">
        <f>IFERROR(E4/(B4*24*_xlfn.XLOOKUP($C$1,'Modelling New'!$D:$D,'Modelling New'!$AA:$AA,0)),"")</f>
        <v>0.1751924885549864</v>
      </c>
      <c r="J4" s="53">
        <f>IFERROR(F4/(B4*24*_xlfn.XLOOKUP($C$1,'Modelling New'!$D:$D,'Modelling New'!$AA:$AA,0)),"")</f>
        <v>0.15640170080620949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0.99209933133271022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0.9689856588219895</v>
      </c>
      <c r="P4" s="211"/>
    </row>
    <row r="5" spans="1:16" x14ac:dyDescent="0.25">
      <c r="C5" s="185"/>
      <c r="E5" s="185"/>
      <c r="G5" s="210"/>
      <c r="L5" s="210"/>
      <c r="M5" s="23"/>
      <c r="N5" s="23"/>
    </row>
    <row r="8" spans="1:16" ht="21" x14ac:dyDescent="0.2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 x14ac:dyDescent="0.2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2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2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2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25">
      <c r="A13" s="47">
        <v>45839</v>
      </c>
      <c r="B13" s="43">
        <f>_xlfn.XLOOKUP($A13,'Modelling New'!D:D,'Modelling New'!$Q:$Q)</f>
        <v>31</v>
      </c>
      <c r="C13" s="43">
        <f>_xlfn.XLOOKUP($A13,'Modelling New'!$D:$D,'Modelling New'!R:R)</f>
        <v>136.6</v>
      </c>
      <c r="D13" s="44">
        <f>SUMIF('Daily KPI'!$D:$D,$A13,'Daily KPI'!$I:$I)</f>
        <v>113.50939056836903</v>
      </c>
      <c r="E13" s="43">
        <f>_xlfn.XLOOKUP($A13,'Modelling New'!$D:$D,'Modelling New'!$U:$U)</f>
        <v>2401.779663494875</v>
      </c>
      <c r="F13" s="44">
        <f>SUMIF('Daily KPI'!$D:$D,A13,'Daily KPI'!$AA:$AA)/1000</f>
        <v>2199.5125000000066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0.79732057008357571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0.1216443172013592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0.96254935764567784</v>
      </c>
    </row>
    <row r="14" spans="1:16" x14ac:dyDescent="0.2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2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2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2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2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2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2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2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5" x14ac:dyDescent="0.2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 x14ac:dyDescent="0.25">
      <c r="A1" s="58" t="s">
        <v>37</v>
      </c>
      <c r="B1" s="59">
        <f>'Daily Dashboard'!B5</f>
        <v>45869</v>
      </c>
      <c r="C1" s="92"/>
      <c r="D1" s="92"/>
      <c r="E1" s="92"/>
      <c r="F1" s="92"/>
    </row>
    <row r="2" spans="1:14" ht="20.45" customHeight="1" x14ac:dyDescent="0.2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5" x14ac:dyDescent="0.2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25">
      <c r="A4" s="47">
        <f>'Daily Dashboard'!B4</f>
        <v>45839</v>
      </c>
      <c r="B4" s="43">
        <f>DAY(B1)</f>
        <v>31</v>
      </c>
      <c r="C4" s="43">
        <f>_xlfn.XLOOKUP($A$4,'Modelling New'!$D:$D,'Modelling New'!$R:$R,0)</f>
        <v>136.6</v>
      </c>
      <c r="D4" s="44">
        <f>SUMIF('Daily KPI'!$D:$D,$A$4,'Daily KPI'!$I:$I)</f>
        <v>113.50939056836903</v>
      </c>
      <c r="E4" s="43">
        <f>_xlfn.XLOOKUP($A$4,'Modelling New'!$D:$D,'Modelling New'!$U:$U,0)</f>
        <v>2401.779663494875</v>
      </c>
      <c r="F4" s="44">
        <f>SUMIF('Daily KPI'!$D:$D,'Monthly KPI'!$A$4,'Daily KPI'!$AA:$AA)/1000</f>
        <v>2199.5125000000066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0.79732057008357571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0.1216443172013592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0.96254935764567784</v>
      </c>
    </row>
    <row r="5" spans="1:14" x14ac:dyDescent="0.25">
      <c r="C5" s="212"/>
      <c r="D5" s="213"/>
      <c r="G5" s="210"/>
      <c r="J5" s="210"/>
      <c r="L5" s="210"/>
      <c r="M5" s="210"/>
    </row>
    <row r="6" spans="1:14" x14ac:dyDescent="0.25">
      <c r="A6" s="58" t="s">
        <v>70</v>
      </c>
      <c r="B6" s="59">
        <f>B7-6</f>
        <v>45863</v>
      </c>
      <c r="D6" s="98"/>
      <c r="F6" s="98"/>
    </row>
    <row r="7" spans="1:14" x14ac:dyDescent="0.25">
      <c r="A7" s="58" t="s">
        <v>71</v>
      </c>
      <c r="B7" s="59">
        <f>B1</f>
        <v>45869</v>
      </c>
    </row>
    <row r="8" spans="1:14" ht="21" x14ac:dyDescent="0.2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5" x14ac:dyDescent="0.2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2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20.775785543657328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408.09230000001486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0.80823801411623308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9.9951069342323479E-2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0.96085377255486015</v>
      </c>
    </row>
    <row r="11" spans="1:14" x14ac:dyDescent="0.25">
      <c r="D11" s="133"/>
      <c r="E11" s="132"/>
      <c r="F11" s="133"/>
      <c r="H11" s="133"/>
    </row>
    <row r="12" spans="1:14" x14ac:dyDescent="0.2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703125" defaultRowHeight="15" x14ac:dyDescent="0.2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60" x14ac:dyDescent="0.2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2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2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2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2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2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2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2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2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2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2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2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2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2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2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2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2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2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2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2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2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2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2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2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2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2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2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2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2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2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2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2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2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2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2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2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2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2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2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2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2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2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2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2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2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2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2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2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2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2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2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2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2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2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2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2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2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2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2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2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2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2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2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2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2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2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2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2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2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2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2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2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2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2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2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2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2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2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2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2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2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2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2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2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2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2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2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2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2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2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2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2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2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2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2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2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2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2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2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2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2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2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2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2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2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2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2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2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2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2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2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2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2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2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2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2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2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2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2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2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2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11.483333333333334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1.3850015238879734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>
        <f>IFERROR(1-(SUMIF('Plant BD'!$B:$B,A121,'Plant BD'!$AE:$AE)/(AA121+SUMIF('Plant BD'!$B:$B,A121,'Plant BD'!$AE:$AE))),"")</f>
        <v>0.88826582871060145</v>
      </c>
      <c r="P121" s="234"/>
      <c r="Q121" s="235"/>
      <c r="R121" s="234">
        <f>IFERROR(1-(SUMIF('Grid BD'!$B:$B,$A121,'Grid BD'!$AD:$AD)/($AA121+SUMIF('Grid BD'!$B:$B,$A121,'Grid BD'!AD:AD))),"")</f>
        <v>1</v>
      </c>
      <c r="S121" s="6"/>
      <c r="T121" s="235"/>
      <c r="U121" s="236">
        <f t="shared" si="8"/>
        <v>0.79597845782317134</v>
      </c>
      <c r="V121" s="236"/>
      <c r="W121" s="237">
        <f t="shared" si="10"/>
        <v>4.5934640711128794E-2</v>
      </c>
      <c r="X121" s="230">
        <f>IFERROR(_xlfn.XLOOKUP($A121,'Raw Data'!$A:$A,'Raw Data'!$BA:$BA),"")</f>
        <v>26458.1</v>
      </c>
      <c r="Y121" s="230">
        <f>IFERROR(_xlfn.XLOOKUP($A121,'Raw Data'!$A:$A,'Raw Data'!BJ:BJ),"")</f>
        <v>27135.399999999208</v>
      </c>
      <c r="Z121" s="230">
        <f>IFERROR(_xlfn.XLOOKUP($A121,'Raw Data'!$A:$A,'Raw Data'!BK:BK),"")</f>
        <v>342.89999999998599</v>
      </c>
      <c r="AA121" s="230">
        <f>IFERROR(_xlfn.XLOOKUP($A121,'Raw Data'!$A:$A,'Raw Data'!BL:BL),"")</f>
        <v>26792.499999999221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2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12.1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3.1724106260296541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>
        <f>IFERROR(1-(SUMIF('Plant BD'!$B:$B,A122,'Plant BD'!$AE:$AE)/(AA122+SUMIF('Plant BD'!$B:$B,A122,'Plant BD'!$AE:$AE))),"")</f>
        <v>0.89502948510411062</v>
      </c>
      <c r="P122" s="234"/>
      <c r="Q122" s="235"/>
      <c r="R122" s="234">
        <f>IFERROR(1-(SUMIF('Grid BD'!$B:$B,$A122,'Grid BD'!$AD:$AD)/($AA122+SUMIF('Grid BD'!$B:$B,$A122,'Grid BD'!AD:AD))),"")</f>
        <v>1</v>
      </c>
      <c r="S122" s="6"/>
      <c r="T122" s="235"/>
      <c r="U122" s="236">
        <f t="shared" si="8"/>
        <v>0.72006903900142205</v>
      </c>
      <c r="V122" s="236"/>
      <c r="W122" s="237">
        <f t="shared" si="10"/>
        <v>9.5181444616794703E-2</v>
      </c>
      <c r="X122" s="230">
        <f>IFERROR(_xlfn.XLOOKUP($A122,'Raw Data'!$A:$A,'Raw Data'!$BA:$BA),"")</f>
        <v>55632.700000000004</v>
      </c>
      <c r="Y122" s="230">
        <f>IFERROR(_xlfn.XLOOKUP($A122,'Raw Data'!$A:$A,'Raw Data'!BJ:BJ),"")</f>
        <v>56308.699999994133</v>
      </c>
      <c r="Z122" s="230">
        <f>IFERROR(_xlfn.XLOOKUP($A122,'Raw Data'!$A:$A,'Raw Data'!BK:BK),"")</f>
        <v>791.79999999996653</v>
      </c>
      <c r="AA122" s="230">
        <f>IFERROR(_xlfn.XLOOKUP($A122,'Raw Data'!$A:$A,'Raw Data'!BL:BL),"")</f>
        <v>55516.899999994166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2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12.1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4.4624563426688626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>
        <f>IFERROR(1-(SUMIF('Plant BD'!$B:$B,A123,'Plant BD'!$AE:$AE)/(AA123+SUMIF('Plant BD'!$B:$B,A123,'Plant BD'!$AE:$AE))),"")</f>
        <v>0.95717445840741555</v>
      </c>
      <c r="P123" s="234"/>
      <c r="Q123" s="235"/>
      <c r="R123" s="234">
        <f>IFERROR(1-(SUMIF('Grid BD'!$B:$B,$A123,'Grid BD'!$AD:$AD)/($AA123+SUMIF('Grid BD'!$B:$B,$A123,'Grid BD'!AD:AD))),"")</f>
        <v>1</v>
      </c>
      <c r="S123" s="6"/>
      <c r="T123" s="235"/>
      <c r="U123" s="236">
        <f t="shared" si="8"/>
        <v>0.84840671365501441</v>
      </c>
      <c r="V123" s="236"/>
      <c r="W123" s="237">
        <f t="shared" si="10"/>
        <v>0.15774908002136101</v>
      </c>
      <c r="X123" s="230">
        <f>IFERROR(_xlfn.XLOOKUP($A123,'Raw Data'!$A:$A,'Raw Data'!$BA:$BA),"")</f>
        <v>93128.3</v>
      </c>
      <c r="Y123" s="230">
        <f>IFERROR(_xlfn.XLOOKUP($A123,'Raw Data'!$A:$A,'Raw Data'!BJ:BJ),"")</f>
        <v>92873.400000011316</v>
      </c>
      <c r="Z123" s="230">
        <f>IFERROR(_xlfn.XLOOKUP($A123,'Raw Data'!$A:$A,'Raw Data'!BK:BK),"")</f>
        <v>862.39999999997963</v>
      </c>
      <c r="AA123" s="230">
        <f>IFERROR(_xlfn.XLOOKUP($A123,'Raw Data'!$A:$A,'Raw Data'!BL:BL),"")</f>
        <v>92011.000000011336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2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11.8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2.7136729818780889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>
        <f>IFERROR(1-(SUMIF('Plant BD'!$B:$B,A124,'Plant BD'!$AE:$AE)/(AA124+SUMIF('Plant BD'!$B:$B,A124,'Plant BD'!$AE:$AE))),"")</f>
        <v>1</v>
      </c>
      <c r="P124" s="234"/>
      <c r="Q124" s="235"/>
      <c r="R124" s="234">
        <f>IFERROR(1-(SUMIF('Grid BD'!$B:$B,$A124,'Grid BD'!$AD:$AD)/($AA124+SUMIF('Grid BD'!$B:$B,$A124,'Grid BD'!AD:AD))),"")</f>
        <v>1</v>
      </c>
      <c r="S124" s="6"/>
      <c r="T124" s="235"/>
      <c r="U124" s="236">
        <f t="shared" si="8"/>
        <v>0.81767332154020722</v>
      </c>
      <c r="V124" s="236"/>
      <c r="W124" s="237">
        <f t="shared" si="10"/>
        <v>9.2454083361090636E-2</v>
      </c>
      <c r="X124" s="230">
        <f>IFERROR(_xlfn.XLOOKUP($A124,'Raw Data'!$A:$A,'Raw Data'!$BA:$BA),"")</f>
        <v>54546.700000000004</v>
      </c>
      <c r="Y124" s="230">
        <f>IFERROR(_xlfn.XLOOKUP($A124,'Raw Data'!$A:$A,'Raw Data'!BJ:BJ),"")</f>
        <v>55019.399999990128</v>
      </c>
      <c r="Z124" s="230">
        <f>IFERROR(_xlfn.XLOOKUP($A124,'Raw Data'!$A:$A,'Raw Data'!BK:BK),"")</f>
        <v>1093.2999999999993</v>
      </c>
      <c r="AA124" s="230">
        <f>IFERROR(_xlfn.XLOOKUP($A124,'Raw Data'!$A:$A,'Raw Data'!BL:BL),"")</f>
        <v>53926.099999990125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2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11.816666666666666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2.8834182454695219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>
        <f>IFERROR(1-(SUMIF('Plant BD'!$B:$B,A125,'Plant BD'!$AE:$AE)/(AA125+SUMIF('Plant BD'!$B:$B,A125,'Plant BD'!$AE:$AE))),"")</f>
        <v>0.98613328047295934</v>
      </c>
      <c r="P125" s="234"/>
      <c r="Q125" s="235"/>
      <c r="R125" s="234">
        <f>IFERROR(1-(SUMIF('Grid BD'!$B:$B,$A125,'Grid BD'!$AD:$AD)/($AA125+SUMIF('Grid BD'!$B:$B,$A125,'Grid BD'!AD:AD))),"")</f>
        <v>1</v>
      </c>
      <c r="S125" s="6"/>
      <c r="T125" s="235"/>
      <c r="U125" s="236">
        <f t="shared" si="8"/>
        <v>0.82113702821747625</v>
      </c>
      <c r="V125" s="236"/>
      <c r="W125" s="237">
        <f t="shared" si="10"/>
        <v>9.8653395383037176E-2</v>
      </c>
      <c r="X125" s="230">
        <f>IFERROR(_xlfn.XLOOKUP($A125,'Raw Data'!$A:$A,'Raw Data'!$BA:$BA),"")</f>
        <v>57830</v>
      </c>
      <c r="Y125" s="230">
        <f>IFERROR(_xlfn.XLOOKUP($A125,'Raw Data'!$A:$A,'Raw Data'!BJ:BJ),"")</f>
        <v>58265.400000003865</v>
      </c>
      <c r="Z125" s="230">
        <f>IFERROR(_xlfn.XLOOKUP($A125,'Raw Data'!$A:$A,'Raw Data'!BK:BK),"")</f>
        <v>723.40000000008331</v>
      </c>
      <c r="AA125" s="230">
        <f>IFERROR(_xlfn.XLOOKUP($A125,'Raw Data'!$A:$A,'Raw Data'!BL:BL),"")</f>
        <v>57542.000000003783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2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12.299999999999999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4.4884136738056011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>
        <f>IFERROR(1-(SUMIF('Plant BD'!$B:$B,A126,'Plant BD'!$AE:$AE)/(AA126+SUMIF('Plant BD'!$B:$B,A126,'Plant BD'!$AE:$AE))),"")</f>
        <v>0.99937335518893367</v>
      </c>
      <c r="P126" s="234"/>
      <c r="Q126" s="235"/>
      <c r="R126" s="234">
        <f>IFERROR(1-(SUMIF('Grid BD'!$B:$B,$A126,'Grid BD'!$AD:$AD)/($AA126+SUMIF('Grid BD'!$B:$B,$A126,'Grid BD'!AD:AD))),"")</f>
        <v>1</v>
      </c>
      <c r="S126" s="6"/>
      <c r="T126" s="235"/>
      <c r="U126" s="236">
        <f t="shared" si="8"/>
        <v>0.80691685503831723</v>
      </c>
      <c r="V126" s="236"/>
      <c r="W126" s="237">
        <f t="shared" si="10"/>
        <v>0.1509073602407581</v>
      </c>
      <c r="X126" s="230">
        <f>IFERROR(_xlfn.XLOOKUP($A126,'Raw Data'!$A:$A,'Raw Data'!$BA:$BA),"")</f>
        <v>89033.1</v>
      </c>
      <c r="Y126" s="230">
        <f>IFERROR(_xlfn.XLOOKUP($A126,'Raw Data'!$A:$A,'Raw Data'!BJ:BJ),"")</f>
        <v>89084.200000012061</v>
      </c>
      <c r="Z126" s="230">
        <f>IFERROR(_xlfn.XLOOKUP($A126,'Raw Data'!$A:$A,'Raw Data'!BK:BK),"")</f>
        <v>1063.8000000000147</v>
      </c>
      <c r="AA126" s="230">
        <f>IFERROR(_xlfn.XLOOKUP($A126,'Raw Data'!$A:$A,'Raw Data'!BL:BL),"")</f>
        <v>88020.400000012043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2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2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2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2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2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2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2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2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2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2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2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2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2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2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2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2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2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2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2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2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2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2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2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2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2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2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2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2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2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2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2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2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2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2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2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2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2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2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2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2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2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2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2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2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2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2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2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2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2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2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2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2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2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2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2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2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2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2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2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2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2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2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2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2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2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2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2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2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2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2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2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2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2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2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2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2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2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2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2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2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2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2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2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2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2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2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2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2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2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2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2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2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2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2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2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2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2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2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2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2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2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2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2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2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2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2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2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2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2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2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2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2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2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2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2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2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2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2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2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2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2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2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2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2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2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2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2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2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2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2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2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2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2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2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2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2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2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2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2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2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2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2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2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2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2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2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2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2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2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2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2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2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2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2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2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2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2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2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2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2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2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2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2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2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2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2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2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2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2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2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2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2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2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2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2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2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2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2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2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2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2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2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2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2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2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2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2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2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2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2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2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2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2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2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2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2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2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2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2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2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2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2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2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2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2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2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2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2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2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2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2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2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2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2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2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2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2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2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2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2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2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2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2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2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2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2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2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2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2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2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2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2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2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2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2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2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2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2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2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2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2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2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2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Q38" sqref="Q38"/>
    </sheetView>
  </sheetViews>
  <sheetFormatPr defaultColWidth="8.85546875"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 x14ac:dyDescent="0.2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2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45837</v>
      </c>
      <c r="G2" s="9">
        <f>IFERROR(Inv_SY!F4/Inv_SY!$P4-1,"")</f>
        <v>-9.6439461419184358E-3</v>
      </c>
      <c r="H2" s="9">
        <f>IFERROR(Inv_SY!G4/Inv_SY!$P4-1,"")</f>
        <v>-1.6940443558588036E-2</v>
      </c>
      <c r="I2" s="9">
        <f>IFERROR(Inv_SY!H4/Inv_SY!$P4-1,"")</f>
        <v>-1.3579135759897665E-2</v>
      </c>
      <c r="J2" s="9">
        <f>IFERROR(Inv_SY!I4/Inv_SY!$P4-1,"")</f>
        <v>-2.1579566846478437E-2</v>
      </c>
      <c r="K2" s="9">
        <f>IFERROR(Inv_SY!J4/Inv_SY!$P4-1,"")</f>
        <v>-8.0496898351474222E-3</v>
      </c>
      <c r="L2" s="9">
        <f>IFERROR(Inv_SY!K4/Inv_SY!$P4-1,"")</f>
        <v>-1.5552336252103616E-2</v>
      </c>
      <c r="M2" s="9">
        <f>IFERROR(Inv_SY!L4/Inv_SY!$P4-1,"")</f>
        <v>1.4498324087226289E-2</v>
      </c>
      <c r="N2" s="9">
        <f>IFERROR(Inv_SY!M4/Inv_SY!$P4-1,"")</f>
        <v>3.9545924082820649E-2</v>
      </c>
      <c r="O2" s="9">
        <f>IFERROR(Inv_SY!N4/Inv_SY!$P4-1,"")</f>
        <v>9.370552498828566E-4</v>
      </c>
      <c r="P2" s="9">
        <f>IFERROR(Inv_SY!O4/Inv_SY!$P4-1,"")</f>
        <v>3.0363814974202707E-2</v>
      </c>
      <c r="Q2" s="9">
        <f>IFERROR(Inv_SY!Q4/Inv_SY!$AA4-1,"")</f>
        <v>-1.4145018907470996E-3</v>
      </c>
      <c r="R2" s="9">
        <f>IFERROR(Inv_SY!R4/Inv_SY!$AA4-1,"")</f>
        <v>-1.9545455256210764E-2</v>
      </c>
      <c r="S2" s="9">
        <f>IFERROR(Inv_SY!S4/Inv_SY!$AA4-1,"")</f>
        <v>4.1453563025804607E-2</v>
      </c>
      <c r="T2" s="9">
        <f>IFERROR(Inv_SY!T4/Inv_SY!$AA4-1,"")</f>
        <v>1.4967046279861007E-2</v>
      </c>
      <c r="U2" s="9">
        <f>IFERROR(Inv_SY!U4/Inv_SY!$AA4-1,"")</f>
        <v>2.3010104836327372E-3</v>
      </c>
      <c r="V2" s="9">
        <f>IFERROR(Inv_SY!V4/Inv_SY!$AA4-1,"")</f>
        <v>1.4219741617131909E-3</v>
      </c>
      <c r="W2" s="9">
        <f>IFERROR(Inv_SY!W4/Inv_SY!$AA4-1,"")</f>
        <v>-8.6599315710004232E-3</v>
      </c>
      <c r="X2" s="9">
        <f>IFERROR(Inv_SY!X4/Inv_SY!$AA4-1,"")</f>
        <v>-2.6757630003209631E-2</v>
      </c>
      <c r="Y2" s="9">
        <f>IFERROR(Inv_SY!Y4/Inv_SY!$AA4-1,"")</f>
        <v>3.2818003335932655E-3</v>
      </c>
      <c r="Z2" s="9">
        <f>IFERROR(Inv_SY!Z4/Inv_SY!$AA4-1,"")</f>
        <v>-7.0478755634347801E-3</v>
      </c>
    </row>
    <row r="3" spans="1:26" x14ac:dyDescent="0.2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45838</v>
      </c>
      <c r="G3" s="9">
        <f>IFERROR(Inv_SY!F5/Inv_SY!$P5-1,"")</f>
        <v>-6.1620013145248231E-3</v>
      </c>
      <c r="H3" s="9">
        <f>IFERROR(Inv_SY!G5/Inv_SY!$P5-1,"")</f>
        <v>-9.3521214256755414E-3</v>
      </c>
      <c r="I3" s="9">
        <f>IFERROR(Inv_SY!H5/Inv_SY!$P5-1,"")</f>
        <v>-1.023056029686209E-2</v>
      </c>
      <c r="J3" s="9">
        <f>IFERROR(Inv_SY!I5/Inv_SY!$P5-1,"")</f>
        <v>-9.4339193772435825E-3</v>
      </c>
      <c r="K3" s="9">
        <f>IFERROR(Inv_SY!J5/Inv_SY!$P5-1,"")</f>
        <v>-2.6504796226211158E-2</v>
      </c>
      <c r="L3" s="9">
        <f>IFERROR(Inv_SY!K5/Inv_SY!$P5-1,"")</f>
        <v>-9.0023001700005878E-3</v>
      </c>
      <c r="M3" s="9">
        <f>IFERROR(Inv_SY!L5/Inv_SY!$P5-1,"")</f>
        <v>1.2432299955652315E-2</v>
      </c>
      <c r="N3" s="9">
        <f>IFERROR(Inv_SY!M5/Inv_SY!$P5-1,"")</f>
        <v>3.2674243516876311E-2</v>
      </c>
      <c r="O3" s="9">
        <f>IFERROR(Inv_SY!N5/Inv_SY!$P5-1,"")</f>
        <v>1.0420297857882677E-3</v>
      </c>
      <c r="P3" s="9">
        <f>IFERROR(Inv_SY!O5/Inv_SY!$P5-1,"")</f>
        <v>2.4537125552201777E-2</v>
      </c>
      <c r="Q3" s="9">
        <f>IFERROR(Inv_SY!Q5/Inv_SY!$AA5-1,"")</f>
        <v>5.7981013211210186E-3</v>
      </c>
      <c r="R3" s="9">
        <f>IFERROR(Inv_SY!R5/Inv_SY!$AA5-1,"")</f>
        <v>-1.7885328827008662E-2</v>
      </c>
      <c r="S3" s="9">
        <f>IFERROR(Inv_SY!S5/Inv_SY!$AA5-1,"")</f>
        <v>3.5707190639925335E-2</v>
      </c>
      <c r="T3" s="9">
        <f>IFERROR(Inv_SY!T5/Inv_SY!$AA5-1,"")</f>
        <v>7.8039484367304901E-3</v>
      </c>
      <c r="U3" s="9">
        <f>IFERROR(Inv_SY!U5/Inv_SY!$AA5-1,"")</f>
        <v>-1.2910881120919981E-3</v>
      </c>
      <c r="V3" s="9">
        <f>IFERROR(Inv_SY!V5/Inv_SY!$AA5-1,"")</f>
        <v>3.7102055095066255E-3</v>
      </c>
      <c r="W3" s="9">
        <f>IFERROR(Inv_SY!W5/Inv_SY!$AA5-1,"")</f>
        <v>2.4882141518922651E-4</v>
      </c>
      <c r="X3" s="9">
        <f>IFERROR(Inv_SY!X5/Inv_SY!$AA5-1,"")</f>
        <v>-1.4037196553069897E-2</v>
      </c>
      <c r="Y3" s="9">
        <f>IFERROR(Inv_SY!Y5/Inv_SY!$AA5-1,"")</f>
        <v>-5.4928930795626885E-3</v>
      </c>
      <c r="Z3" s="9">
        <f>IFERROR(Inv_SY!Z5/Inv_SY!$AA5-1,"")</f>
        <v>-1.456176075073834E-2</v>
      </c>
    </row>
    <row r="4" spans="1:26" x14ac:dyDescent="0.2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45839</v>
      </c>
      <c r="G4" s="9">
        <f>IFERROR(Inv_SY!F6/Inv_SY!$P6-1,"")</f>
        <v>-1.4887636992880204E-2</v>
      </c>
      <c r="H4" s="9">
        <f>IFERROR(Inv_SY!G6/Inv_SY!$P6-1,"")</f>
        <v>-1.3338718183120601E-2</v>
      </c>
      <c r="I4" s="9">
        <f>IFERROR(Inv_SY!H6/Inv_SY!$P6-1,"")</f>
        <v>-1.3338718183120601E-2</v>
      </c>
      <c r="J4" s="9">
        <f>IFERROR(Inv_SY!I6/Inv_SY!$P6-1,"")</f>
        <v>-1.0386505408963242E-2</v>
      </c>
      <c r="K4" s="9">
        <f>IFERROR(Inv_SY!J6/Inv_SY!$P6-1,"")</f>
        <v>-1.1170231849457091E-2</v>
      </c>
      <c r="L4" s="9">
        <f>IFERROR(Inv_SY!K6/Inv_SY!$P6-1,"")</f>
        <v>-1.046181846030203E-2</v>
      </c>
      <c r="M4" s="9">
        <f>IFERROR(Inv_SY!L6/Inv_SY!$P6-1,"")</f>
        <v>1.7137210044650741E-2</v>
      </c>
      <c r="N4" s="9">
        <f>IFERROR(Inv_SY!M6/Inv_SY!$P6-1,"")</f>
        <v>3.5710377459267528E-2</v>
      </c>
      <c r="O4" s="9">
        <f>IFERROR(Inv_SY!N6/Inv_SY!$P6-1,"")</f>
        <v>-1.0340665975047125E-3</v>
      </c>
      <c r="P4" s="9">
        <f>IFERROR(Inv_SY!O6/Inv_SY!$P6-1,"")</f>
        <v>2.1770108171430769E-2</v>
      </c>
      <c r="Q4" s="9">
        <f>IFERROR(Inv_SY!Q6/Inv_SY!$AA6-1,"")</f>
        <v>-1.2588703595203254E-3</v>
      </c>
      <c r="R4" s="9">
        <f>IFERROR(Inv_SY!R6/Inv_SY!$AA6-1,"")</f>
        <v>-2.3148038846927288E-2</v>
      </c>
      <c r="S4" s="9">
        <f>IFERROR(Inv_SY!S6/Inv_SY!$AA6-1,"")</f>
        <v>3.3736373720425039E-2</v>
      </c>
      <c r="T4" s="9">
        <f>IFERROR(Inv_SY!T6/Inv_SY!$AA6-1,"")</f>
        <v>6.68234007007662E-3</v>
      </c>
      <c r="U4" s="9">
        <f>IFERROR(Inv_SY!U6/Inv_SY!$AA6-1,"")</f>
        <v>-2.9610332048783938E-3</v>
      </c>
      <c r="V4" s="9">
        <f>IFERROR(Inv_SY!V6/Inv_SY!$AA6-1,"")</f>
        <v>-1.1900730629818002E-3</v>
      </c>
      <c r="W4" s="9">
        <f>IFERROR(Inv_SY!W6/Inv_SY!$AA6-1,"")</f>
        <v>-5.0557743040757774E-3</v>
      </c>
      <c r="X4" s="9">
        <f>IFERROR(Inv_SY!X6/Inv_SY!$AA6-1,"")</f>
        <v>-2.0725986979202138E-2</v>
      </c>
      <c r="Y4" s="9">
        <f>IFERROR(Inv_SY!Y6/Inv_SY!$AA6-1,"")</f>
        <v>1.0755351462222507E-2</v>
      </c>
      <c r="Z4" s="9">
        <f>IFERROR(Inv_SY!Z6/Inv_SY!$AA6-1,"")</f>
        <v>3.1657115048615569E-3</v>
      </c>
    </row>
    <row r="5" spans="1:26" x14ac:dyDescent="0.2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45840</v>
      </c>
      <c r="G5" s="9">
        <f>IFERROR(Inv_SY!F7/Inv_SY!$P7-1,"")</f>
        <v>-1.4542740454729919E-2</v>
      </c>
      <c r="H5" s="9">
        <f>IFERROR(Inv_SY!G7/Inv_SY!$P7-1,"")</f>
        <v>-1.8052203629748576E-2</v>
      </c>
      <c r="I5" s="9">
        <f>IFERROR(Inv_SY!H7/Inv_SY!$P7-1,"")</f>
        <v>-2.4168696591924332E-2</v>
      </c>
      <c r="J5" s="9">
        <f>IFERROR(Inv_SY!I7/Inv_SY!$P7-1,"")</f>
        <v>-1.8514475775439854E-2</v>
      </c>
      <c r="K5" s="9">
        <f>IFERROR(Inv_SY!J7/Inv_SY!$P7-1,"")</f>
        <v>-1.0007434197782494E-2</v>
      </c>
      <c r="L5" s="9">
        <f>IFERROR(Inv_SY!K7/Inv_SY!$P7-1,"")</f>
        <v>-1.5472198280227722E-2</v>
      </c>
      <c r="M5" s="9">
        <f>IFERROR(Inv_SY!L7/Inv_SY!$P7-1,"")</f>
        <v>9.2917413636954826E-3</v>
      </c>
      <c r="N5" s="9">
        <f>IFERROR(Inv_SY!M7/Inv_SY!$P7-1,"")</f>
        <v>3.5993529265540447E-2</v>
      </c>
      <c r="O5" s="9">
        <f>IFERROR(Inv_SY!N7/Inv_SY!$P7-1,"")</f>
        <v>1.1056237415030479E-2</v>
      </c>
      <c r="P5" s="9">
        <f>IFERROR(Inv_SY!O7/Inv_SY!$P7-1,"")</f>
        <v>4.441624088558549E-2</v>
      </c>
      <c r="Q5" s="9">
        <f>IFERROR(Inv_SY!Q7/Inv_SY!$AA7-1,"")</f>
        <v>7.0461139539443884E-3</v>
      </c>
      <c r="R5" s="9">
        <f>IFERROR(Inv_SY!R7/Inv_SY!$AA7-1,"")</f>
        <v>-1.312031989428819E-2</v>
      </c>
      <c r="S5" s="9">
        <f>IFERROR(Inv_SY!S7/Inv_SY!$AA7-1,"")</f>
        <v>4.4753669737297219E-2</v>
      </c>
      <c r="T5" s="9">
        <f>IFERROR(Inv_SY!T7/Inv_SY!$AA7-1,"")</f>
        <v>1.804576026432958E-2</v>
      </c>
      <c r="U5" s="9">
        <f>IFERROR(Inv_SY!U7/Inv_SY!$AA7-1,"")</f>
        <v>7.9199517769512617E-3</v>
      </c>
      <c r="V5" s="9">
        <f>IFERROR(Inv_SY!V7/Inv_SY!$AA7-1,"")</f>
        <v>6.5791618349431147E-3</v>
      </c>
      <c r="W5" s="9">
        <f>IFERROR(Inv_SY!W7/Inv_SY!$AA7-1,"")</f>
        <v>1.7802345377748718E-3</v>
      </c>
      <c r="X5" s="9">
        <f>IFERROR(Inv_SY!X7/Inv_SY!$AA7-1,"")</f>
        <v>-1.5496759748143352E-2</v>
      </c>
      <c r="Y5" s="9">
        <f>IFERROR(Inv_SY!Y7/Inv_SY!$AA7-1,"")</f>
        <v>-2.0109486049123659E-2</v>
      </c>
      <c r="Z5" s="9">
        <f>IFERROR(Inv_SY!Z7/Inv_SY!$AA7-1,"")</f>
        <v>-3.7398326413685679E-2</v>
      </c>
    </row>
    <row r="6" spans="1:26" x14ac:dyDescent="0.2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45841</v>
      </c>
      <c r="G6" s="9">
        <f>IFERROR(Inv_SY!F8/Inv_SY!$P8-1,"")</f>
        <v>-9.1497207083333087E-3</v>
      </c>
      <c r="H6" s="9">
        <f>IFERROR(Inv_SY!G8/Inv_SY!$P8-1,"")</f>
        <v>-1.2905528107440167E-2</v>
      </c>
      <c r="I6" s="9">
        <f>IFERROR(Inv_SY!H8/Inv_SY!$P8-1,"")</f>
        <v>-9.1497207083333087E-3</v>
      </c>
      <c r="J6" s="9">
        <f>IFERROR(Inv_SY!I8/Inv_SY!$P8-1,"")</f>
        <v>-1.4457461576628305E-2</v>
      </c>
      <c r="K6" s="9">
        <f>IFERROR(Inv_SY!J8/Inv_SY!$P8-1,"")</f>
        <v>-1.6030990208794949E-2</v>
      </c>
      <c r="L6" s="9">
        <f>IFERROR(Inv_SY!K8/Inv_SY!$P8-1,"")</f>
        <v>-9.8753960048195699E-3</v>
      </c>
      <c r="M6" s="9">
        <f>IFERROR(Inv_SY!L8/Inv_SY!$P8-1,"")</f>
        <v>1.60200564415931E-2</v>
      </c>
      <c r="N6" s="9">
        <f>IFERROR(Inv_SY!M8/Inv_SY!$P8-1,"")</f>
        <v>3.5237094008385039E-2</v>
      </c>
      <c r="O6" s="9">
        <f>IFERROR(Inv_SY!N8/Inv_SY!$P8-1,"")</f>
        <v>9.7802452413864316E-5</v>
      </c>
      <c r="P6" s="9">
        <f>IFERROR(Inv_SY!O8/Inv_SY!$P8-1,"")</f>
        <v>2.0213864411957383E-2</v>
      </c>
      <c r="Q6" s="9">
        <f>IFERROR(Inv_SY!Q8/Inv_SY!$AA8-1,"")</f>
        <v>9.126270681408144E-3</v>
      </c>
      <c r="R6" s="9">
        <f>IFERROR(Inv_SY!R8/Inv_SY!$AA8-1,"")</f>
        <v>-2.0466723238231288E-2</v>
      </c>
      <c r="S6" s="9">
        <f>IFERROR(Inv_SY!S8/Inv_SY!$AA8-1,"")</f>
        <v>3.1244570661996818E-2</v>
      </c>
      <c r="T6" s="9">
        <f>IFERROR(Inv_SY!T8/Inv_SY!$AA8-1,"")</f>
        <v>2.3282245114488731E-3</v>
      </c>
      <c r="U6" s="9">
        <f>IFERROR(Inv_SY!U8/Inv_SY!$AA8-1,"")</f>
        <v>-5.2578282938990917E-3</v>
      </c>
      <c r="V6" s="9">
        <f>IFERROR(Inv_SY!V8/Inv_SY!$AA8-1,"")</f>
        <v>2.3701786778209666E-3</v>
      </c>
      <c r="W6" s="9">
        <f>IFERROR(Inv_SY!W8/Inv_SY!$AA8-1,"")</f>
        <v>-1.6742722423727097E-3</v>
      </c>
      <c r="X6" s="9">
        <f>IFERROR(Inv_SY!X8/Inv_SY!$AA8-1,"")</f>
        <v>-9.7715329497813919E-3</v>
      </c>
      <c r="Y6" s="9">
        <f>IFERROR(Inv_SY!Y8/Inv_SY!$AA8-1,"")</f>
        <v>-6.8858103088675904E-3</v>
      </c>
      <c r="Z6" s="9">
        <f>IFERROR(Inv_SY!Z8/Inv_SY!$AA8-1,"")</f>
        <v>-1.0130774995220637E-3</v>
      </c>
    </row>
    <row r="7" spans="1:26" x14ac:dyDescent="0.2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45842</v>
      </c>
      <c r="G7" s="9">
        <f>IFERROR(Inv_SY!F9/Inv_SY!$P9-1,"")</f>
        <v>-1.1421798348429046E-2</v>
      </c>
      <c r="H7" s="9">
        <f>IFERROR(Inv_SY!G9/Inv_SY!$P9-1,"")</f>
        <v>-1.2672529878858474E-2</v>
      </c>
      <c r="I7" s="9">
        <f>IFERROR(Inv_SY!H9/Inv_SY!$P9-1,"")</f>
        <v>-1.5710020738473385E-2</v>
      </c>
      <c r="J7" s="9">
        <f>IFERROR(Inv_SY!I9/Inv_SY!$P9-1,"")</f>
        <v>-1.793598689079845E-2</v>
      </c>
      <c r="K7" s="9">
        <f>IFERROR(Inv_SY!J9/Inv_SY!$P9-1,"")</f>
        <v>-1.9241756717145786E-2</v>
      </c>
      <c r="L7" s="9">
        <f>IFERROR(Inv_SY!K9/Inv_SY!$P9-1,"")</f>
        <v>-9.5540392629873683E-3</v>
      </c>
      <c r="M7" s="9">
        <f>IFERROR(Inv_SY!L9/Inv_SY!$P9-1,"")</f>
        <v>9.4231266984221573E-3</v>
      </c>
      <c r="N7" s="9">
        <f>IFERROR(Inv_SY!M9/Inv_SY!$P9-1,"")</f>
        <v>3.3461596000702531E-2</v>
      </c>
      <c r="O7" s="9">
        <f>IFERROR(Inv_SY!N9/Inv_SY!$P9-1,"")</f>
        <v>5.9015907468205064E-3</v>
      </c>
      <c r="P7" s="9">
        <f>IFERROR(Inv_SY!O9/Inv_SY!$P9-1,"")</f>
        <v>3.7749818390746981E-2</v>
      </c>
      <c r="Q7" s="9">
        <f>IFERROR(Inv_SY!Q9/Inv_SY!$AA9-1,"")</f>
        <v>1.8916897958251688E-2</v>
      </c>
      <c r="R7" s="9">
        <f>IFERROR(Inv_SY!R9/Inv_SY!$AA9-1,"")</f>
        <v>-9.0536332172403977E-3</v>
      </c>
      <c r="S7" s="9">
        <f>IFERROR(Inv_SY!S9/Inv_SY!$AA9-1,"")</f>
        <v>4.0332834518803651E-2</v>
      </c>
      <c r="T7" s="9">
        <f>IFERROR(Inv_SY!T9/Inv_SY!$AA9-1,"")</f>
        <v>7.8967746052982513E-3</v>
      </c>
      <c r="U7" s="9">
        <f>IFERROR(Inv_SY!U9/Inv_SY!$AA9-1,"")</f>
        <v>5.5033332205227659E-3</v>
      </c>
      <c r="V7" s="9">
        <f>IFERROR(Inv_SY!V9/Inv_SY!$AA9-1,"")</f>
        <v>1.3168148552747283E-2</v>
      </c>
      <c r="W7" s="9">
        <f>IFERROR(Inv_SY!W9/Inv_SY!$AA9-1,"")</f>
        <v>8.7985563371484332E-3</v>
      </c>
      <c r="X7" s="9">
        <f>IFERROR(Inv_SY!X9/Inv_SY!$AA9-1,"")</f>
        <v>-3.0510750528088826E-3</v>
      </c>
      <c r="Y7" s="9">
        <f>IFERROR(Inv_SY!Y9/Inv_SY!$AA9-1,"")</f>
        <v>-3.094214529323569E-2</v>
      </c>
      <c r="Z7" s="9">
        <f>IFERROR(Inv_SY!Z9/Inv_SY!$AA9-1,"")</f>
        <v>-5.1569691629487435E-2</v>
      </c>
    </row>
    <row r="8" spans="1:26" x14ac:dyDescent="0.2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45843</v>
      </c>
      <c r="G8" s="9">
        <f>IFERROR(Inv_SY!F10/Inv_SY!$P10-1,"")</f>
        <v>-1.0539737535179228E-2</v>
      </c>
      <c r="H8" s="9">
        <f>IFERROR(Inv_SY!G10/Inv_SY!$P10-1,"")</f>
        <v>-1.1020417034881769E-2</v>
      </c>
      <c r="I8" s="9">
        <f>IFERROR(Inv_SY!H10/Inv_SY!$P10-1,"")</f>
        <v>-9.9481319970836646E-3</v>
      </c>
      <c r="J8" s="9">
        <f>IFERROR(Inv_SY!I10/Inv_SY!$P10-1,"")</f>
        <v>-1.8286736209676691E-2</v>
      </c>
      <c r="K8" s="9">
        <f>IFERROR(Inv_SY!J10/Inv_SY!$P10-1,"")</f>
        <v>-1.1709296175875905E-2</v>
      </c>
      <c r="L8" s="9">
        <f>IFERROR(Inv_SY!K10/Inv_SY!$P10-1,"")</f>
        <v>-1.4748564284975285E-2</v>
      </c>
      <c r="M8" s="9">
        <f>IFERROR(Inv_SY!L10/Inv_SY!$P10-1,"")</f>
        <v>1.426325203013934E-2</v>
      </c>
      <c r="N8" s="9">
        <f>IFERROR(Inv_SY!M10/Inv_SY!$P10-1,"")</f>
        <v>3.5901297205321869E-2</v>
      </c>
      <c r="O8" s="9">
        <f>IFERROR(Inv_SY!N10/Inv_SY!$P10-1,"")</f>
        <v>-5.147182453302257E-5</v>
      </c>
      <c r="P8" s="9">
        <f>IFERROR(Inv_SY!O10/Inv_SY!$P10-1,"")</f>
        <v>2.6139805826745244E-2</v>
      </c>
      <c r="Q8" s="9">
        <f>IFERROR(Inv_SY!Q10/Inv_SY!$AA10-1,"")</f>
        <v>1.7120801393775142E-3</v>
      </c>
      <c r="R8" s="9">
        <f>IFERROR(Inv_SY!R10/Inv_SY!$AA10-1,"")</f>
        <v>-1.7661704405160017E-2</v>
      </c>
      <c r="S8" s="9">
        <f>IFERROR(Inv_SY!S10/Inv_SY!$AA10-1,"")</f>
        <v>4.023295795998183E-2</v>
      </c>
      <c r="T8" s="9">
        <f>IFERROR(Inv_SY!T10/Inv_SY!$AA10-1,"")</f>
        <v>1.3726793453270547E-2</v>
      </c>
      <c r="U8" s="9">
        <f>IFERROR(Inv_SY!U10/Inv_SY!$AA10-1,"")</f>
        <v>1.3986598339210676E-3</v>
      </c>
      <c r="V8" s="9">
        <f>IFERROR(Inv_SY!V10/Inv_SY!$AA10-1,"")</f>
        <v>2.1222031744507763E-3</v>
      </c>
      <c r="W8" s="9">
        <f>IFERROR(Inv_SY!W10/Inv_SY!$AA10-1,"")</f>
        <v>-6.6660853485637217E-3</v>
      </c>
      <c r="X8" s="9">
        <f>IFERROR(Inv_SY!X10/Inv_SY!$AA10-1,"")</f>
        <v>-2.3032232041621747E-2</v>
      </c>
      <c r="Y8" s="9">
        <f>IFERROR(Inv_SY!Y10/Inv_SY!$AA10-1,"")</f>
        <v>1.032727240288156E-2</v>
      </c>
      <c r="Z8" s="9">
        <f>IFERROR(Inv_SY!Z10/Inv_SY!$AA10-1,"")</f>
        <v>-2.2159945168537032E-2</v>
      </c>
    </row>
    <row r="9" spans="1:26" x14ac:dyDescent="0.2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45844</v>
      </c>
      <c r="G9" s="9">
        <f>IFERROR(Inv_SY!F11/Inv_SY!$P11-1,"")</f>
        <v>-1.025520090524068E-2</v>
      </c>
      <c r="H9" s="9">
        <f>IFERROR(Inv_SY!G11/Inv_SY!$P11-1,"")</f>
        <v>-9.0626308599193184E-3</v>
      </c>
      <c r="I9" s="9">
        <f>IFERROR(Inv_SY!H11/Inv_SY!$P11-1,"")</f>
        <v>-4.9548895927017389E-3</v>
      </c>
      <c r="J9" s="9">
        <f>IFERROR(Inv_SY!I11/Inv_SY!$P11-1,"")</f>
        <v>-1.0057685030687935E-2</v>
      </c>
      <c r="K9" s="9">
        <f>IFERROR(Inv_SY!J11/Inv_SY!$P11-1,"")</f>
        <v>-9.6952705819673968E-3</v>
      </c>
      <c r="L9" s="9">
        <f>IFERROR(Inv_SY!K11/Inv_SY!$P11-1,"")</f>
        <v>-1.0315401972000315E-2</v>
      </c>
      <c r="M9" s="9">
        <f>IFERROR(Inv_SY!L11/Inv_SY!$P11-1,"")</f>
        <v>5.1569361833461169E-3</v>
      </c>
      <c r="N9" s="9">
        <f>IFERROR(Inv_SY!M11/Inv_SY!$P11-1,"")</f>
        <v>2.7200332370034053E-2</v>
      </c>
      <c r="O9" s="9">
        <f>IFERROR(Inv_SY!N11/Inv_SY!$P11-1,"")</f>
        <v>-1.6829811058692856E-3</v>
      </c>
      <c r="P9" s="9">
        <f>IFERROR(Inv_SY!O11/Inv_SY!$P11-1,"")</f>
        <v>2.3666791495007944E-2</v>
      </c>
      <c r="Q9" s="9">
        <f>IFERROR(Inv_SY!Q11/Inv_SY!$AA11-1,"")</f>
        <v>7.1395553127424627E-3</v>
      </c>
      <c r="R9" s="9">
        <f>IFERROR(Inv_SY!R11/Inv_SY!$AA11-1,"")</f>
        <v>-1.5158048053058426E-2</v>
      </c>
      <c r="S9" s="9">
        <f>IFERROR(Inv_SY!S11/Inv_SY!$AA11-1,"")</f>
        <v>4.2365249898439705E-2</v>
      </c>
      <c r="T9" s="9">
        <f>IFERROR(Inv_SY!T11/Inv_SY!$AA11-1,"")</f>
        <v>1.5292129121893261E-2</v>
      </c>
      <c r="U9" s="9">
        <f>IFERROR(Inv_SY!U11/Inv_SY!$AA11-1,"")</f>
        <v>3.1435607453484948E-3</v>
      </c>
      <c r="V9" s="9">
        <f>IFERROR(Inv_SY!V11/Inv_SY!$AA11-1,"")</f>
        <v>5.0895557972432393E-3</v>
      </c>
      <c r="W9" s="9">
        <f>IFERROR(Inv_SY!W11/Inv_SY!$AA11-1,"")</f>
        <v>-1.9881590639098112E-3</v>
      </c>
      <c r="X9" s="9">
        <f>IFERROR(Inv_SY!X11/Inv_SY!$AA11-1,"")</f>
        <v>-1.5462764138798324E-2</v>
      </c>
      <c r="Y9" s="9">
        <f>IFERROR(Inv_SY!Y11/Inv_SY!$AA11-1,"")</f>
        <v>2.2223339125351238E-3</v>
      </c>
      <c r="Z9" s="9">
        <f>IFERROR(Inv_SY!Z11/Inv_SY!$AA11-1,"")</f>
        <v>-4.2643413532434393E-2</v>
      </c>
    </row>
    <row r="10" spans="1:26" x14ac:dyDescent="0.2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45845</v>
      </c>
      <c r="G10" s="9">
        <f>IFERROR(Inv_SY!F12/Inv_SY!$P12-1,"")</f>
        <v>-1.0672367772981195E-2</v>
      </c>
      <c r="H10" s="9">
        <f>IFERROR(Inv_SY!G12/Inv_SY!$P12-1,"")</f>
        <v>-1.1234485745837186E-2</v>
      </c>
      <c r="I10" s="9">
        <f>IFERROR(Inv_SY!H12/Inv_SY!$P12-1,"")</f>
        <v>-1.0672367772981195E-2</v>
      </c>
      <c r="J10" s="9">
        <f>IFERROR(Inv_SY!I12/Inv_SY!$P12-1,"")</f>
        <v>-1.0993028965799678E-2</v>
      </c>
      <c r="K10" s="9">
        <f>IFERROR(Inv_SY!J12/Inv_SY!$P12-1,"")</f>
        <v>-1.0395632770959451E-2</v>
      </c>
      <c r="L10" s="9">
        <f>IFERROR(Inv_SY!K12/Inv_SY!$P12-1,"")</f>
        <v>3.6256073314653303E-3</v>
      </c>
      <c r="M10" s="9">
        <f>IFERROR(Inv_SY!L12/Inv_SY!$P12-1,"")</f>
        <v>8.3987954514399554E-3</v>
      </c>
      <c r="N10" s="9">
        <f>IFERROR(Inv_SY!M12/Inv_SY!$P12-1,"")</f>
        <v>2.466076194941258E-2</v>
      </c>
      <c r="O10" s="9">
        <f>IFERROR(Inv_SY!N12/Inv_SY!$P12-1,"")</f>
        <v>1.6158439125288915E-3</v>
      </c>
      <c r="P10" s="9">
        <f>IFERROR(Inv_SY!O12/Inv_SY!$P12-1,"")</f>
        <v>1.5666874383712281E-2</v>
      </c>
      <c r="Q10" s="9">
        <f>IFERROR(Inv_SY!Q12/Inv_SY!$AA12-1,"")</f>
        <v>5.4483706176493563E-3</v>
      </c>
      <c r="R10" s="9">
        <f>IFERROR(Inv_SY!R12/Inv_SY!$AA12-1,"")</f>
        <v>-1.8737338701642181E-2</v>
      </c>
      <c r="S10" s="9">
        <f>IFERROR(Inv_SY!S12/Inv_SY!$AA12-1,"")</f>
        <v>3.6000441965909236E-2</v>
      </c>
      <c r="T10" s="9">
        <f>IFERROR(Inv_SY!T12/Inv_SY!$AA12-1,"")</f>
        <v>7.6825139270202403E-3</v>
      </c>
      <c r="U10" s="9">
        <f>IFERROR(Inv_SY!U12/Inv_SY!$AA12-1,"")</f>
        <v>2.4649221203176808E-4</v>
      </c>
      <c r="V10" s="9">
        <f>IFERROR(Inv_SY!V12/Inv_SY!$AA12-1,"")</f>
        <v>2.7640171614780051E-3</v>
      </c>
      <c r="W10" s="9">
        <f>IFERROR(Inv_SY!W12/Inv_SY!$AA12-1,"")</f>
        <v>1.9687069618827824E-3</v>
      </c>
      <c r="X10" s="9">
        <f>IFERROR(Inv_SY!X12/Inv_SY!$AA12-1,"")</f>
        <v>-1.2486924100284846E-2</v>
      </c>
      <c r="Y10" s="9">
        <f>IFERROR(Inv_SY!Y12/Inv_SY!$AA12-1,"")</f>
        <v>8.8588605955852717E-3</v>
      </c>
      <c r="Z10" s="9">
        <f>IFERROR(Inv_SY!Z12/Inv_SY!$AA12-1,"")</f>
        <v>-3.1745140639629299E-2</v>
      </c>
    </row>
    <row r="11" spans="1:26" x14ac:dyDescent="0.2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45846</v>
      </c>
      <c r="G11" s="9">
        <f>IFERROR(Inv_SY!F13/Inv_SY!$P13-1,"")</f>
        <v>8.1191362006252099E-3</v>
      </c>
      <c r="H11" s="9">
        <f>IFERROR(Inv_SY!G13/Inv_SY!$P13-1,"")</f>
        <v>-1.2435656196421618E-2</v>
      </c>
      <c r="I11" s="9">
        <f>IFERROR(Inv_SY!H13/Inv_SY!$P13-1,"")</f>
        <v>4.3819012193440088E-3</v>
      </c>
      <c r="J11" s="9">
        <f>IFERROR(Inv_SY!I13/Inv_SY!$P13-1,"")</f>
        <v>-4.0172948347406701E-3</v>
      </c>
      <c r="K11" s="9">
        <f>IFERROR(Inv_SY!J13/Inv_SY!$P13-1,"")</f>
        <v>-6.1034084933775601E-2</v>
      </c>
      <c r="L11" s="9">
        <f>IFERROR(Inv_SY!K13/Inv_SY!$P13-1,"")</f>
        <v>-4.8378593484342702E-2</v>
      </c>
      <c r="M11" s="9">
        <f>IFERROR(Inv_SY!L13/Inv_SY!$P13-1,"")</f>
        <v>1.8954976840705129E-2</v>
      </c>
      <c r="N11" s="9">
        <f>IFERROR(Inv_SY!M13/Inv_SY!$P13-1,"")</f>
        <v>3.8017016050875485E-2</v>
      </c>
      <c r="O11" s="9">
        <f>IFERROR(Inv_SY!N13/Inv_SY!$P13-1,"")</f>
        <v>1.9777046204836557E-2</v>
      </c>
      <c r="P11" s="9">
        <f>IFERROR(Inv_SY!O13/Inv_SY!$P13-1,"")</f>
        <v>3.6615552932894868E-2</v>
      </c>
      <c r="Q11" s="9">
        <f>IFERROR(Inv_SY!Q13/Inv_SY!$AA13-1,"")</f>
        <v>1.1080436579773423E-2</v>
      </c>
      <c r="R11" s="9">
        <f>IFERROR(Inv_SY!R13/Inv_SY!$AA13-1,"")</f>
        <v>-1.2871126905515728E-2</v>
      </c>
      <c r="S11" s="9">
        <f>IFERROR(Inv_SY!S13/Inv_SY!$AA13-1,"")</f>
        <v>4.143724668071247E-2</v>
      </c>
      <c r="T11" s="9">
        <f>IFERROR(Inv_SY!T13/Inv_SY!$AA13-1,"")</f>
        <v>1.2827744212640768E-2</v>
      </c>
      <c r="U11" s="9">
        <f>IFERROR(Inv_SY!U13/Inv_SY!$AA13-1,"")</f>
        <v>4.7351380873252857E-3</v>
      </c>
      <c r="V11" s="9">
        <f>IFERROR(Inv_SY!V13/Inv_SY!$AA13-1,"")</f>
        <v>7.5803589418221851E-3</v>
      </c>
      <c r="W11" s="9">
        <f>IFERROR(Inv_SY!W13/Inv_SY!$AA13-1,"")</f>
        <v>3.2727100420302246E-3</v>
      </c>
      <c r="X11" s="9">
        <f>IFERROR(Inv_SY!X13/Inv_SY!$AA13-1,"")</f>
        <v>-1.1054974174347754E-2</v>
      </c>
      <c r="Y11" s="9">
        <f>IFERROR(Inv_SY!Y13/Inv_SY!$AA13-1,"")</f>
        <v>-5.4485316878950529E-3</v>
      </c>
      <c r="Z11" s="9">
        <f>IFERROR(Inv_SY!Z13/Inv_SY!$AA13-1,"")</f>
        <v>-5.1559001776547597E-2</v>
      </c>
    </row>
    <row r="12" spans="1:26" x14ac:dyDescent="0.2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45847</v>
      </c>
      <c r="G12" s="9">
        <f>IFERROR(Inv_SY!F14/Inv_SY!$P14-1,"")</f>
        <v>-1.0465627420703116E-2</v>
      </c>
      <c r="H12" s="9">
        <f>IFERROR(Inv_SY!G14/Inv_SY!$P14-1,"")</f>
        <v>-1.5566320062864403E-2</v>
      </c>
      <c r="I12" s="9">
        <f>IFERROR(Inv_SY!H14/Inv_SY!$P14-1,"")</f>
        <v>-9.9798471690687451E-3</v>
      </c>
      <c r="J12" s="9">
        <f>IFERROR(Inv_SY!I14/Inv_SY!$P14-1,"")</f>
        <v>-1.4900759598445612E-2</v>
      </c>
      <c r="K12" s="9">
        <f>IFERROR(Inv_SY!J14/Inv_SY!$P14-1,"")</f>
        <v>-1.3552200404164827E-2</v>
      </c>
      <c r="L12" s="9">
        <f>IFERROR(Inv_SY!K14/Inv_SY!$P14-1,"")</f>
        <v>-9.9405418723552685E-3</v>
      </c>
      <c r="M12" s="9">
        <f>IFERROR(Inv_SY!L14/Inv_SY!$P14-1,"")</f>
        <v>9.1457427183565532E-3</v>
      </c>
      <c r="N12" s="9">
        <f>IFERROR(Inv_SY!M14/Inv_SY!$P14-1,"")</f>
        <v>2.8882572961684172E-2</v>
      </c>
      <c r="O12" s="9">
        <f>IFERROR(Inv_SY!N14/Inv_SY!$P14-1,"")</f>
        <v>7.0086276342431475E-3</v>
      </c>
      <c r="P12" s="9">
        <f>IFERROR(Inv_SY!O14/Inv_SY!$P14-1,"")</f>
        <v>2.9368353213318654E-2</v>
      </c>
      <c r="Q12" s="9">
        <f>IFERROR(Inv_SY!Q14/Inv_SY!$AA14-1,"")</f>
        <v>1.148242677279776E-2</v>
      </c>
      <c r="R12" s="9">
        <f>IFERROR(Inv_SY!R14/Inv_SY!$AA14-1,"")</f>
        <v>-1.2945736249769024E-2</v>
      </c>
      <c r="S12" s="9">
        <f>IFERROR(Inv_SY!S14/Inv_SY!$AA14-1,"")</f>
        <v>4.1479680092963322E-2</v>
      </c>
      <c r="T12" s="9">
        <f>IFERROR(Inv_SY!T14/Inv_SY!$AA14-1,"")</f>
        <v>1.2310739435579254E-2</v>
      </c>
      <c r="U12" s="9">
        <f>IFERROR(Inv_SY!U14/Inv_SY!$AA14-1,"")</f>
        <v>4.155540662662105E-3</v>
      </c>
      <c r="V12" s="9">
        <f>IFERROR(Inv_SY!V14/Inv_SY!$AA14-1,"")</f>
        <v>7.9282112931109427E-3</v>
      </c>
      <c r="W12" s="9">
        <f>IFERROR(Inv_SY!W14/Inv_SY!$AA14-1,"")</f>
        <v>4.2336051008526887E-3</v>
      </c>
      <c r="X12" s="9">
        <f>IFERROR(Inv_SY!X14/Inv_SY!$AA14-1,"")</f>
        <v>-9.9968865988319111E-3</v>
      </c>
      <c r="Y12" s="9">
        <f>IFERROR(Inv_SY!Y14/Inv_SY!$AA14-1,"")</f>
        <v>-6.2185208416946081E-3</v>
      </c>
      <c r="Z12" s="9">
        <f>IFERROR(Inv_SY!Z14/Inv_SY!$AA14-1,"")</f>
        <v>-5.2429059667668421E-2</v>
      </c>
    </row>
    <row r="13" spans="1:26" x14ac:dyDescent="0.2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45848</v>
      </c>
      <c r="G13" s="9">
        <f>IFERROR(Inv_SY!F15/Inv_SY!$P15-1,"")</f>
        <v>9.7925229116172074E-2</v>
      </c>
      <c r="H13" s="9">
        <f>IFERROR(Inv_SY!G15/Inv_SY!$P15-1,"")</f>
        <v>6.5934400761971323E-2</v>
      </c>
      <c r="I13" s="9">
        <f>IFERROR(Inv_SY!H15/Inv_SY!$P15-1,"")</f>
        <v>8.6408530908659742E-2</v>
      </c>
      <c r="J13" s="9">
        <f>IFERROR(Inv_SY!I15/Inv_SY!$P15-1,"")</f>
        <v>-6.0359921062746236E-2</v>
      </c>
      <c r="K13" s="9">
        <f>IFERROR(Inv_SY!J15/Inv_SY!$P15-1,"")</f>
        <v>6.8277113730679018E-2</v>
      </c>
      <c r="L13" s="9">
        <f>IFERROR(Inv_SY!K15/Inv_SY!$P15-1,"")</f>
        <v>8.9060397409497005E-2</v>
      </c>
      <c r="M13" s="9">
        <f>IFERROR(Inv_SY!L15/Inv_SY!$P15-1,"")</f>
        <v>-0.14543460449605661</v>
      </c>
      <c r="N13" s="9">
        <f>IFERROR(Inv_SY!M15/Inv_SY!$P15-1,"")</f>
        <v>-2.9398267733547256E-2</v>
      </c>
      <c r="O13" s="9">
        <f>IFERROR(Inv_SY!N15/Inv_SY!$P15-1,"")</f>
        <v>-6.9435705686417437E-2</v>
      </c>
      <c r="P13" s="9">
        <f>IFERROR(Inv_SY!O15/Inv_SY!$P15-1,"")</f>
        <v>-0.10297717294820907</v>
      </c>
      <c r="Q13" s="9">
        <f>IFERROR(Inv_SY!Q15/Inv_SY!$AA15-1,"")</f>
        <v>9.406876909205053E-3</v>
      </c>
      <c r="R13" s="9">
        <f>IFERROR(Inv_SY!R15/Inv_SY!$AA15-1,"")</f>
        <v>-1.5025089605988362E-2</v>
      </c>
      <c r="S13" s="9">
        <f>IFERROR(Inv_SY!S15/Inv_SY!$AA15-1,"")</f>
        <v>4.1246577170954479E-2</v>
      </c>
      <c r="T13" s="9">
        <f>IFERROR(Inv_SY!T15/Inv_SY!$AA15-1,"")</f>
        <v>1.4111666976386328E-2</v>
      </c>
      <c r="U13" s="9">
        <f>IFERROR(Inv_SY!U15/Inv_SY!$AA15-1,"")</f>
        <v>6.6979853055493255E-3</v>
      </c>
      <c r="V13" s="9">
        <f>IFERROR(Inv_SY!V15/Inv_SY!$AA15-1,"")</f>
        <v>6.4045902406020261E-3</v>
      </c>
      <c r="W13" s="9">
        <f>IFERROR(Inv_SY!W15/Inv_SY!$AA15-1,"")</f>
        <v>1.2041507295046383E-3</v>
      </c>
      <c r="X13" s="9">
        <f>IFERROR(Inv_SY!X15/Inv_SY!$AA15-1,"")</f>
        <v>-1.4829139187638396E-2</v>
      </c>
      <c r="Y13" s="9">
        <f>IFERROR(Inv_SY!Y15/Inv_SY!$AA15-1,"")</f>
        <v>-1.096800490087646E-3</v>
      </c>
      <c r="Z13" s="9">
        <f>IFERROR(Inv_SY!Z15/Inv_SY!$AA15-1,"")</f>
        <v>-4.8120818048487668E-2</v>
      </c>
    </row>
    <row r="14" spans="1:26" x14ac:dyDescent="0.2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45849</v>
      </c>
      <c r="G14" s="9">
        <f>IFERROR(Inv_SY!F16/Inv_SY!$P16-1,"")</f>
        <v>3.0757133822307825E-3</v>
      </c>
      <c r="H14" s="9">
        <f>IFERROR(Inv_SY!G16/Inv_SY!$P16-1,"")</f>
        <v>-1.3692268852452116E-2</v>
      </c>
      <c r="I14" s="9">
        <f>IFERROR(Inv_SY!H16/Inv_SY!$P16-1,"")</f>
        <v>2.7896923633021764E-3</v>
      </c>
      <c r="J14" s="9">
        <f>IFERROR(Inv_SY!I16/Inv_SY!$P16-1,"")</f>
        <v>-0.16990735424162939</v>
      </c>
      <c r="K14" s="9">
        <f>IFERROR(Inv_SY!J16/Inv_SY!$P16-1,"")</f>
        <v>3.4145382815768954E-3</v>
      </c>
      <c r="L14" s="9">
        <f>IFERROR(Inv_SY!K16/Inv_SY!$P16-1,"")</f>
        <v>5.2398576046532863E-3</v>
      </c>
      <c r="M14" s="9">
        <f>IFERROR(Inv_SY!L16/Inv_SY!$P16-1,"")</f>
        <v>3.634019194336835E-2</v>
      </c>
      <c r="N14" s="9">
        <f>IFERROR(Inv_SY!M16/Inv_SY!$P16-1,"")</f>
        <v>5.0841223543289349E-2</v>
      </c>
      <c r="O14" s="9">
        <f>IFERROR(Inv_SY!N16/Inv_SY!$P16-1,"")</f>
        <v>1.8472257599517317E-2</v>
      </c>
      <c r="P14" s="9">
        <f>IFERROR(Inv_SY!O16/Inv_SY!$P16-1,"")</f>
        <v>6.3426148376143132E-2</v>
      </c>
      <c r="Q14" s="9">
        <f>IFERROR(Inv_SY!Q16/Inv_SY!$AA16-1,"")</f>
        <v>1.7518048341761405E-2</v>
      </c>
      <c r="R14" s="9">
        <f>IFERROR(Inv_SY!R16/Inv_SY!$AA16-1,"")</f>
        <v>-1.2275045877993551E-2</v>
      </c>
      <c r="S14" s="9">
        <f>IFERROR(Inv_SY!S16/Inv_SY!$AA16-1,"")</f>
        <v>4.7469372022860723E-2</v>
      </c>
      <c r="T14" s="9">
        <f>IFERROR(Inv_SY!T16/Inv_SY!$AA16-1,"")</f>
        <v>-6.8325820461152653E-2</v>
      </c>
      <c r="U14" s="9">
        <f>IFERROR(Inv_SY!U16/Inv_SY!$AA16-1,"")</f>
        <v>2.4502300284471978E-2</v>
      </c>
      <c r="V14" s="9">
        <f>IFERROR(Inv_SY!V16/Inv_SY!$AA16-1,"")</f>
        <v>2.7343800653815364E-2</v>
      </c>
      <c r="W14" s="9">
        <f>IFERROR(Inv_SY!W16/Inv_SY!$AA16-1,"")</f>
        <v>1.9508492995693238E-2</v>
      </c>
      <c r="X14" s="9">
        <f>IFERROR(Inv_SY!X16/Inv_SY!$AA16-1,"")</f>
        <v>4.2239706670286203E-3</v>
      </c>
      <c r="Y14" s="9">
        <f>IFERROR(Inv_SY!Y16/Inv_SY!$AA16-1,"")</f>
        <v>-1.107368498350525E-2</v>
      </c>
      <c r="Z14" s="9">
        <f>IFERROR(Inv_SY!Z16/Inv_SY!$AA16-1,"")</f>
        <v>-4.8891433642978321E-2</v>
      </c>
    </row>
    <row r="15" spans="1:26" x14ac:dyDescent="0.2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45850</v>
      </c>
      <c r="G15" s="9">
        <f>IFERROR(Inv_SY!F17/Inv_SY!$P17-1,"")</f>
        <v>-5.8839237926197052E-3</v>
      </c>
      <c r="H15" s="9">
        <f>IFERROR(Inv_SY!G17/Inv_SY!$P17-1,"")</f>
        <v>-1.3405196737609537E-2</v>
      </c>
      <c r="I15" s="9">
        <f>IFERROR(Inv_SY!H17/Inv_SY!$P17-1,"")</f>
        <v>-5.09909531140329E-3</v>
      </c>
      <c r="J15" s="9">
        <f>IFERROR(Inv_SY!I17/Inv_SY!$P17-1,"")</f>
        <v>-6.0663796446630558E-3</v>
      </c>
      <c r="K15" s="9">
        <f>IFERROR(Inv_SY!J17/Inv_SY!$P17-1,"")</f>
        <v>-1.5371814351136104E-3</v>
      </c>
      <c r="L15" s="9">
        <f>IFERROR(Inv_SY!K17/Inv_SY!$P17-1,"")</f>
        <v>-7.6309683889834723E-3</v>
      </c>
      <c r="M15" s="9">
        <f>IFERROR(Inv_SY!L17/Inv_SY!$P17-1,"")</f>
        <v>1.1189970577139441E-2</v>
      </c>
      <c r="N15" s="9">
        <f>IFERROR(Inv_SY!M17/Inv_SY!$P17-1,"")</f>
        <v>2.1846682543691598E-2</v>
      </c>
      <c r="O15" s="9">
        <f>IFERROR(Inv_SY!N17/Inv_SY!$P17-1,"")</f>
        <v>-1.1598057441785437E-2</v>
      </c>
      <c r="P15" s="9">
        <f>IFERROR(Inv_SY!O17/Inv_SY!$P17-1,"")</f>
        <v>1.8184149631348401E-2</v>
      </c>
      <c r="Q15" s="9">
        <f>IFERROR(Inv_SY!Q17/Inv_SY!$AA17-1,"")</f>
        <v>1.009394181296619E-2</v>
      </c>
      <c r="R15" s="9">
        <f>IFERROR(Inv_SY!R17/Inv_SY!$AA17-1,"")</f>
        <v>-1.7136008447428686E-2</v>
      </c>
      <c r="S15" s="9">
        <f>IFERROR(Inv_SY!S17/Inv_SY!$AA17-1,"")</f>
        <v>3.5321347356534361E-2</v>
      </c>
      <c r="T15" s="9">
        <f>IFERROR(Inv_SY!T17/Inv_SY!$AA17-1,"")</f>
        <v>-7.1395817974581055E-3</v>
      </c>
      <c r="U15" s="9">
        <f>IFERROR(Inv_SY!U17/Inv_SY!$AA17-1,"")</f>
        <v>-1.6491055371559149E-4</v>
      </c>
      <c r="V15" s="9">
        <f>IFERROR(Inv_SY!V17/Inv_SY!$AA17-1,"")</f>
        <v>6.8545229198822E-3</v>
      </c>
      <c r="W15" s="9">
        <f>IFERROR(Inv_SY!W17/Inv_SY!$AA17-1,"")</f>
        <v>-9.2287437883808998E-4</v>
      </c>
      <c r="X15" s="9">
        <f>IFERROR(Inv_SY!X17/Inv_SY!$AA17-1,"")</f>
        <v>-1.3364468700968635E-2</v>
      </c>
      <c r="Y15" s="9">
        <f>IFERROR(Inv_SY!Y17/Inv_SY!$AA17-1,"")</f>
        <v>1.3613638962902685E-2</v>
      </c>
      <c r="Z15" s="9">
        <f>IFERROR(Inv_SY!Z17/Inv_SY!$AA17-1,"")</f>
        <v>-2.7155607173876772E-2</v>
      </c>
    </row>
    <row r="16" spans="1:26" x14ac:dyDescent="0.2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45851</v>
      </c>
      <c r="G16" s="9">
        <f>IFERROR(Inv_SY!F18/Inv_SY!$P18-1,"")</f>
        <v>-1.4363049544456996E-2</v>
      </c>
      <c r="H16" s="9">
        <f>IFERROR(Inv_SY!G18/Inv_SY!$P18-1,"")</f>
        <v>-1.9080343507785757E-2</v>
      </c>
      <c r="I16" s="9">
        <f>IFERROR(Inv_SY!H18/Inv_SY!$P18-1,"")</f>
        <v>-1.0478219221715546E-2</v>
      </c>
      <c r="J16" s="9">
        <f>IFERROR(Inv_SY!I18/Inv_SY!$P18-1,"")</f>
        <v>-1.7626496750862475E-2</v>
      </c>
      <c r="K16" s="9">
        <f>IFERROR(Inv_SY!J18/Inv_SY!$P18-1,"")</f>
        <v>-1.1221032931778119E-2</v>
      </c>
      <c r="L16" s="9">
        <f>IFERROR(Inv_SY!K18/Inv_SY!$P18-1,"")</f>
        <v>1.0333378184763653E-3</v>
      </c>
      <c r="M16" s="9">
        <f>IFERROR(Inv_SY!L18/Inv_SY!$P18-1,"")</f>
        <v>8.840205422254277E-3</v>
      </c>
      <c r="N16" s="9">
        <f>IFERROR(Inv_SY!M18/Inv_SY!$P18-1,"")</f>
        <v>2.5595205203740701E-2</v>
      </c>
      <c r="O16" s="9">
        <f>IFERROR(Inv_SY!N18/Inv_SY!$P18-1,"")</f>
        <v>5.0697340163052829E-5</v>
      </c>
      <c r="P16" s="9">
        <f>IFERROR(Inv_SY!O18/Inv_SY!$P18-1,"")</f>
        <v>3.7249696171965052E-2</v>
      </c>
      <c r="Q16" s="9">
        <f>IFERROR(Inv_SY!Q18/Inv_SY!$AA18-1,"")</f>
        <v>8.0854469474378465E-3</v>
      </c>
      <c r="R16" s="9">
        <f>IFERROR(Inv_SY!R18/Inv_SY!$AA18-1,"")</f>
        <v>-1.3841845934219443E-2</v>
      </c>
      <c r="S16" s="9">
        <f>IFERROR(Inv_SY!S18/Inv_SY!$AA18-1,"")</f>
        <v>4.6814575443215434E-2</v>
      </c>
      <c r="T16" s="9">
        <f>IFERROR(Inv_SY!T18/Inv_SY!$AA18-1,"")</f>
        <v>5.9339016898605212E-3</v>
      </c>
      <c r="U16" s="9">
        <f>IFERROR(Inv_SY!U18/Inv_SY!$AA18-1,"")</f>
        <v>1.1164492449184493E-2</v>
      </c>
      <c r="V16" s="9">
        <f>IFERROR(Inv_SY!V18/Inv_SY!$AA18-1,"")</f>
        <v>8.7770121764074727E-3</v>
      </c>
      <c r="W16" s="9">
        <f>IFERROR(Inv_SY!W18/Inv_SY!$AA18-1,"")</f>
        <v>-2.342154901840976E-3</v>
      </c>
      <c r="X16" s="9">
        <f>IFERROR(Inv_SY!X18/Inv_SY!$AA18-1,"")</f>
        <v>-2.0126981188112514E-2</v>
      </c>
      <c r="Y16" s="9">
        <f>IFERROR(Inv_SY!Y18/Inv_SY!$AA18-1,"")</f>
        <v>1.0212305343269001E-3</v>
      </c>
      <c r="Z16" s="9">
        <f>IFERROR(Inv_SY!Z18/Inv_SY!$AA18-1,"")</f>
        <v>-4.548567721625818E-2</v>
      </c>
    </row>
    <row r="17" spans="1:26" x14ac:dyDescent="0.2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45852</v>
      </c>
      <c r="G17" s="9">
        <f>IFERROR(Inv_SY!F19/Inv_SY!$P19-1,"")</f>
        <v>9.1591019197251322E-2</v>
      </c>
      <c r="H17" s="9">
        <f>IFERROR(Inv_SY!G19/Inv_SY!$P19-1,"")</f>
        <v>6.0091727372819204E-2</v>
      </c>
      <c r="I17" s="9">
        <f>IFERROR(Inv_SY!H19/Inv_SY!$P19-1,"")</f>
        <v>8.3517974153003216E-2</v>
      </c>
      <c r="J17" s="9">
        <f>IFERROR(Inv_SY!I19/Inv_SY!$P19-1,"")</f>
        <v>7.5995946468918163E-2</v>
      </c>
      <c r="K17" s="9">
        <f>IFERROR(Inv_SY!J19/Inv_SY!$P19-1,"")</f>
        <v>-0.24808900464803751</v>
      </c>
      <c r="L17" s="9">
        <f>IFERROR(Inv_SY!K19/Inv_SY!$P19-1,"")</f>
        <v>-0.22307406507503413</v>
      </c>
      <c r="M17" s="9">
        <f>IFERROR(Inv_SY!L19/Inv_SY!$P19-1,"")</f>
        <v>-0.11260454657321051</v>
      </c>
      <c r="N17" s="9">
        <f>IFERROR(Inv_SY!M19/Inv_SY!$P19-1,"")</f>
        <v>8.9572757936189129E-2</v>
      </c>
      <c r="O17" s="9">
        <f>IFERROR(Inv_SY!N19/Inv_SY!$P19-1,"")</f>
        <v>8.0450896553658335E-2</v>
      </c>
      <c r="P17" s="9">
        <f>IFERROR(Inv_SY!O19/Inv_SY!$P19-1,"")</f>
        <v>0.10254729461444501</v>
      </c>
      <c r="Q17" s="9">
        <f>IFERROR(Inv_SY!Q19/Inv_SY!$AA19-1,"")</f>
        <v>8.4342628738502956E-3</v>
      </c>
      <c r="R17" s="9">
        <f>IFERROR(Inv_SY!R19/Inv_SY!$AA19-1,"")</f>
        <v>-2.8151032685363342E-2</v>
      </c>
      <c r="S17" s="9">
        <f>IFERROR(Inv_SY!S19/Inv_SY!$AA19-1,"")</f>
        <v>4.5065558710964293E-2</v>
      </c>
      <c r="T17" s="9">
        <f>IFERROR(Inv_SY!T19/Inv_SY!$AA19-1,"")</f>
        <v>1.8310721024019205E-2</v>
      </c>
      <c r="U17" s="9">
        <f>IFERROR(Inv_SY!U19/Inv_SY!$AA19-1,"")</f>
        <v>7.8692360461742883E-3</v>
      </c>
      <c r="V17" s="9">
        <f>IFERROR(Inv_SY!V19/Inv_SY!$AA19-1,"")</f>
        <v>1.0429884507598519E-2</v>
      </c>
      <c r="W17" s="9">
        <f>IFERROR(Inv_SY!W19/Inv_SY!$AA19-1,"")</f>
        <v>-3.2731968782845344E-3</v>
      </c>
      <c r="X17" s="9">
        <f>IFERROR(Inv_SY!X19/Inv_SY!$AA19-1,"")</f>
        <v>-1.6198725757030297E-2</v>
      </c>
      <c r="Y17" s="9">
        <f>IFERROR(Inv_SY!Y19/Inv_SY!$AA19-1,"")</f>
        <v>2.2426099068169059E-3</v>
      </c>
      <c r="Z17" s="9">
        <f>IFERROR(Inv_SY!Z19/Inv_SY!$AA19-1,"")</f>
        <v>-4.4729317748745112E-2</v>
      </c>
    </row>
    <row r="18" spans="1:26" x14ac:dyDescent="0.2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45853</v>
      </c>
      <c r="G18" s="9">
        <f>IFERROR(Inv_SY!F20/Inv_SY!$P20-1,"")</f>
        <v>-1.7847495068118113E-2</v>
      </c>
      <c r="H18" s="9">
        <f>IFERROR(Inv_SY!G20/Inv_SY!$P20-1,"")</f>
        <v>-2.2434059489185865E-3</v>
      </c>
      <c r="I18" s="9">
        <f>IFERROR(Inv_SY!H20/Inv_SY!$P20-1,"")</f>
        <v>-2.2072015658114452E-3</v>
      </c>
      <c r="J18" s="9">
        <f>IFERROR(Inv_SY!I20/Inv_SY!$P20-1,"")</f>
        <v>-7.8300826454472672E-3</v>
      </c>
      <c r="K18" s="9">
        <f>IFERROR(Inv_SY!J20/Inv_SY!$P20-1,"")</f>
        <v>2.1195007107526198E-3</v>
      </c>
      <c r="L18" s="9">
        <f>IFERROR(Inv_SY!K20/Inv_SY!$P20-1,"")</f>
        <v>-6.309127227938971E-3</v>
      </c>
      <c r="M18" s="9">
        <f>IFERROR(Inv_SY!L20/Inv_SY!$P20-1,"")</f>
        <v>1.4521759514157573E-2</v>
      </c>
      <c r="N18" s="9">
        <f>IFERROR(Inv_SY!M20/Inv_SY!$P20-1,"")</f>
        <v>1.6329442585070408E-2</v>
      </c>
      <c r="O18" s="9">
        <f>IFERROR(Inv_SY!N20/Inv_SY!$P20-1,"")</f>
        <v>-7.6494017713815143E-3</v>
      </c>
      <c r="P18" s="9">
        <f>IFERROR(Inv_SY!O20/Inv_SY!$P20-1,"")</f>
        <v>1.1116011417634963E-2</v>
      </c>
      <c r="Q18" s="9">
        <f>IFERROR(Inv_SY!Q20/Inv_SY!$AA20-1,"")</f>
        <v>1.3374243310223966E-2</v>
      </c>
      <c r="R18" s="9">
        <f>IFERROR(Inv_SY!R20/Inv_SY!$AA20-1,"")</f>
        <v>-4.2562869879990917E-2</v>
      </c>
      <c r="S18" s="9">
        <f>IFERROR(Inv_SY!S20/Inv_SY!$AA20-1,"")</f>
        <v>3.4804506682942549E-2</v>
      </c>
      <c r="T18" s="9">
        <f>IFERROR(Inv_SY!T20/Inv_SY!$AA20-1,"")</f>
        <v>5.3735268205048481E-3</v>
      </c>
      <c r="U18" s="9">
        <f>IFERROR(Inv_SY!U20/Inv_SY!$AA20-1,"")</f>
        <v>-2.1972891738466505E-3</v>
      </c>
      <c r="V18" s="9">
        <f>IFERROR(Inv_SY!V20/Inv_SY!$AA20-1,"")</f>
        <v>5.6099697222491418E-3</v>
      </c>
      <c r="W18" s="9">
        <f>IFERROR(Inv_SY!W20/Inv_SY!$AA20-1,"")</f>
        <v>1.8589212532460486E-3</v>
      </c>
      <c r="X18" s="9">
        <f>IFERROR(Inv_SY!X20/Inv_SY!$AA20-1,"")</f>
        <v>-1.1238285986949426E-2</v>
      </c>
      <c r="Y18" s="9">
        <f>IFERROR(Inv_SY!Y20/Inv_SY!$AA20-1,"")</f>
        <v>1.2760105112850084E-2</v>
      </c>
      <c r="Z18" s="9">
        <f>IFERROR(Inv_SY!Z20/Inv_SY!$AA20-1,"")</f>
        <v>-1.77828278612292E-2</v>
      </c>
    </row>
    <row r="19" spans="1:26" x14ac:dyDescent="0.2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45854</v>
      </c>
      <c r="G19" s="9">
        <f>IFERROR(Inv_SY!F21/Inv_SY!$P21-1,"")</f>
        <v>-1.8280419592303643E-3</v>
      </c>
      <c r="H19" s="9">
        <f>IFERROR(Inv_SY!G21/Inv_SY!$P21-1,"")</f>
        <v>1.4422904221782495E-3</v>
      </c>
      <c r="I19" s="9">
        <f>IFERROR(Inv_SY!H21/Inv_SY!$P21-1,"")</f>
        <v>-5.5972386022097309E-3</v>
      </c>
      <c r="J19" s="9">
        <f>IFERROR(Inv_SY!I21/Inv_SY!$P21-1,"")</f>
        <v>-0.11299679217797554</v>
      </c>
      <c r="K19" s="9">
        <f>IFERROR(Inv_SY!J21/Inv_SY!$P21-1,"")</f>
        <v>-3.2674998627030272E-3</v>
      </c>
      <c r="L19" s="9">
        <f>IFERROR(Inv_SY!K21/Inv_SY!$P21-1,"")</f>
        <v>6.5190877318732632E-4</v>
      </c>
      <c r="M19" s="9">
        <f>IFERROR(Inv_SY!L21/Inv_SY!$P21-1,"")</f>
        <v>3.8216531072809978E-4</v>
      </c>
      <c r="N19" s="9">
        <f>IFERROR(Inv_SY!M21/Inv_SY!$P21-1,"")</f>
        <v>4.7614949298675269E-2</v>
      </c>
      <c r="O19" s="9">
        <f>IFERROR(Inv_SY!N21/Inv_SY!$P21-1,"")</f>
        <v>1.9110068561474902E-2</v>
      </c>
      <c r="P19" s="9">
        <f>IFERROR(Inv_SY!O21/Inv_SY!$P21-1,"")</f>
        <v>5.4488190235872924E-2</v>
      </c>
      <c r="Q19" s="9">
        <f>IFERROR(Inv_SY!Q21/Inv_SY!$AA21-1,"")</f>
        <v>2.4289782359776968E-2</v>
      </c>
      <c r="R19" s="9">
        <f>IFERROR(Inv_SY!R21/Inv_SY!$AA21-1,"")</f>
        <v>-3.5091640926860679E-2</v>
      </c>
      <c r="S19" s="9">
        <f>IFERROR(Inv_SY!S21/Inv_SY!$AA21-1,"")</f>
        <v>3.9861328296637133E-2</v>
      </c>
      <c r="T19" s="9">
        <f>IFERROR(Inv_SY!T21/Inv_SY!$AA21-1,"")</f>
        <v>1.1879571721387094E-2</v>
      </c>
      <c r="U19" s="9">
        <f>IFERROR(Inv_SY!U21/Inv_SY!$AA21-1,"")</f>
        <v>3.4943602443642252E-3</v>
      </c>
      <c r="V19" s="9">
        <f>IFERROR(Inv_SY!V21/Inv_SY!$AA21-1,"")</f>
        <v>9.9181678505990689E-3</v>
      </c>
      <c r="W19" s="9">
        <f>IFERROR(Inv_SY!W21/Inv_SY!$AA21-1,"")</f>
        <v>1.0582088079929441E-2</v>
      </c>
      <c r="X19" s="9">
        <f>IFERROR(Inv_SY!X21/Inv_SY!$AA21-1,"")</f>
        <v>-2.3211040569970365E-4</v>
      </c>
      <c r="Y19" s="9">
        <f>IFERROR(Inv_SY!Y21/Inv_SY!$AA21-1,"")</f>
        <v>-1.5770595825887246E-2</v>
      </c>
      <c r="Z19" s="9">
        <f>IFERROR(Inv_SY!Z21/Inv_SY!$AA21-1,"")</f>
        <v>-4.893095139424819E-2</v>
      </c>
    </row>
    <row r="20" spans="1:26" x14ac:dyDescent="0.2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45855</v>
      </c>
      <c r="G20" s="9">
        <f>IFERROR(Inv_SY!F22/Inv_SY!$P22-1,"")</f>
        <v>-3.3462861931604637E-2</v>
      </c>
      <c r="H20" s="9">
        <f>IFERROR(Inv_SY!G22/Inv_SY!$P22-1,"")</f>
        <v>-0.15925654968297753</v>
      </c>
      <c r="I20" s="9">
        <f>IFERROR(Inv_SY!H22/Inv_SY!$P22-1,"")</f>
        <v>2.3746501380854879E-2</v>
      </c>
      <c r="J20" s="9">
        <f>IFERROR(Inv_SY!I22/Inv_SY!$P22-1,"")</f>
        <v>1.4877577441737344E-2</v>
      </c>
      <c r="K20" s="9">
        <f>IFERROR(Inv_SY!J22/Inv_SY!$P22-1,"")</f>
        <v>1.4584767984887614E-2</v>
      </c>
      <c r="L20" s="9">
        <f>IFERROR(Inv_SY!K22/Inv_SY!$P22-1,"")</f>
        <v>2.3808265875659318E-2</v>
      </c>
      <c r="M20" s="9">
        <f>IFERROR(Inv_SY!L22/Inv_SY!$P22-1,"")</f>
        <v>-6.0086316003168383E-2</v>
      </c>
      <c r="N20" s="9">
        <f>IFERROR(Inv_SY!M22/Inv_SY!$P22-1,"")</f>
        <v>6.0547846201735256E-2</v>
      </c>
      <c r="O20" s="9">
        <f>IFERROR(Inv_SY!N22/Inv_SY!$P22-1,"")</f>
        <v>3.5288577080130556E-2</v>
      </c>
      <c r="P20" s="9">
        <f>IFERROR(Inv_SY!O22/Inv_SY!$P22-1,"")</f>
        <v>7.995219165274503E-2</v>
      </c>
      <c r="Q20" s="9">
        <f>IFERROR(Inv_SY!Q22/Inv_SY!$AA22-1,"")</f>
        <v>5.5881188103528157E-3</v>
      </c>
      <c r="R20" s="9">
        <f>IFERROR(Inv_SY!R22/Inv_SY!$AA22-1,"")</f>
        <v>-4.2389385650743572E-2</v>
      </c>
      <c r="S20" s="9">
        <f>IFERROR(Inv_SY!S22/Inv_SY!$AA22-1,"")</f>
        <v>4.1658229731747154E-2</v>
      </c>
      <c r="T20" s="9">
        <f>IFERROR(Inv_SY!T22/Inv_SY!$AA22-1,"")</f>
        <v>1.2242454657817037E-2</v>
      </c>
      <c r="U20" s="9">
        <f>IFERROR(Inv_SY!U22/Inv_SY!$AA22-1,"")</f>
        <v>6.9878467526507393E-3</v>
      </c>
      <c r="V20" s="9">
        <f>IFERROR(Inv_SY!V22/Inv_SY!$AA22-1,"")</f>
        <v>5.4865870996667621E-3</v>
      </c>
      <c r="W20" s="9">
        <f>IFERROR(Inv_SY!W22/Inv_SY!$AA22-1,"")</f>
        <v>-4.1987207016446204E-3</v>
      </c>
      <c r="X20" s="9">
        <f>IFERROR(Inv_SY!X22/Inv_SY!$AA22-1,"")</f>
        <v>-2.4071600689987149E-2</v>
      </c>
      <c r="Y20" s="9">
        <f>IFERROR(Inv_SY!Y22/Inv_SY!$AA22-1,"")</f>
        <v>6.9547907781641882E-4</v>
      </c>
      <c r="Z20" s="9">
        <f>IFERROR(Inv_SY!Z22/Inv_SY!$AA22-1,"")</f>
        <v>-1.999009087675474E-3</v>
      </c>
    </row>
    <row r="21" spans="1:26" x14ac:dyDescent="0.2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45856</v>
      </c>
      <c r="G21" s="9">
        <f>IFERROR(Inv_SY!F23/Inv_SY!$P23-1,"")</f>
        <v>-2.18643103798839E-2</v>
      </c>
      <c r="H21" s="9">
        <f>IFERROR(Inv_SY!G23/Inv_SY!$P23-1,"")</f>
        <v>-1.6618396841802885E-2</v>
      </c>
      <c r="I21" s="9">
        <f>IFERROR(Inv_SY!H23/Inv_SY!$P23-1,"")</f>
        <v>-1.3603029217551854E-2</v>
      </c>
      <c r="J21" s="9">
        <f>IFERROR(Inv_SY!I23/Inv_SY!$P23-1,"")</f>
        <v>-1.3775315764868679E-2</v>
      </c>
      <c r="K21" s="9">
        <f>IFERROR(Inv_SY!J23/Inv_SY!$P23-1,"")</f>
        <v>-1.9505396866454805E-2</v>
      </c>
      <c r="L21" s="9">
        <f>IFERROR(Inv_SY!K23/Inv_SY!$P23-1,"")</f>
        <v>-1.8788383563522304E-2</v>
      </c>
      <c r="M21" s="9">
        <f>IFERROR(Inv_SY!L23/Inv_SY!$P23-1,"")</f>
        <v>1.8801420232765098E-2</v>
      </c>
      <c r="N21" s="9">
        <f>IFERROR(Inv_SY!M23/Inv_SY!$P23-1,"")</f>
        <v>3.6625560249427203E-2</v>
      </c>
      <c r="O21" s="9">
        <f>IFERROR(Inv_SY!N23/Inv_SY!$P23-1,"")</f>
        <v>2.5192057541592039E-3</v>
      </c>
      <c r="P21" s="9">
        <f>IFERROR(Inv_SY!O23/Inv_SY!$P23-1,"")</f>
        <v>4.6208646397732256E-2</v>
      </c>
      <c r="Q21" s="9">
        <f>IFERROR(Inv_SY!Q23/Inv_SY!$AA23-1,"")</f>
        <v>1.4669907134964522E-2</v>
      </c>
      <c r="R21" s="9">
        <f>IFERROR(Inv_SY!R23/Inv_SY!$AA23-1,"")</f>
        <v>-2.7487462773570948E-2</v>
      </c>
      <c r="S21" s="9">
        <f>IFERROR(Inv_SY!S23/Inv_SY!$AA23-1,"")</f>
        <v>4.1160880169876846E-2</v>
      </c>
      <c r="T21" s="9">
        <f>IFERROR(Inv_SY!T23/Inv_SY!$AA23-1,"")</f>
        <v>1.2441796808250638E-2</v>
      </c>
      <c r="U21" s="9">
        <f>IFERROR(Inv_SY!U23/Inv_SY!$AA23-1,"")</f>
        <v>5.8054478977187518E-3</v>
      </c>
      <c r="V21" s="9">
        <f>IFERROR(Inv_SY!V23/Inv_SY!$AA23-1,"")</f>
        <v>8.2906795583534976E-3</v>
      </c>
      <c r="W21" s="9">
        <f>IFERROR(Inv_SY!W23/Inv_SY!$AA23-1,"")</f>
        <v>4.1359923388235575E-3</v>
      </c>
      <c r="X21" s="9">
        <f>IFERROR(Inv_SY!X23/Inv_SY!$AA23-1,"")</f>
        <v>-1.2775886991528096E-2</v>
      </c>
      <c r="Y21" s="9">
        <f>IFERROR(Inv_SY!Y23/Inv_SY!$AA23-1,"")</f>
        <v>-2.0536385820474901E-2</v>
      </c>
      <c r="Z21" s="9">
        <f>IFERROR(Inv_SY!Z23/Inv_SY!$AA23-1,"")</f>
        <v>-2.5704968322412314E-2</v>
      </c>
    </row>
    <row r="22" spans="1:26" x14ac:dyDescent="0.2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45857</v>
      </c>
      <c r="G22" s="9">
        <f>IFERROR(Inv_SY!F24/Inv_SY!$P24-1,"")</f>
        <v>-1.0309660718858749E-2</v>
      </c>
      <c r="H22" s="9">
        <f>IFERROR(Inv_SY!G24/Inv_SY!$P24-1,"")</f>
        <v>-1.5229465451001456E-2</v>
      </c>
      <c r="I22" s="9">
        <f>IFERROR(Inv_SY!H24/Inv_SY!$P24-1,"")</f>
        <v>-1.0060556681788291E-2</v>
      </c>
      <c r="J22" s="9">
        <f>IFERROR(Inv_SY!I24/Inv_SY!$P24-1,"")</f>
        <v>-1.0410579790287366E-2</v>
      </c>
      <c r="K22" s="9">
        <f>IFERROR(Inv_SY!J24/Inv_SY!$P24-1,"")</f>
        <v>-2.0722209468406194E-2</v>
      </c>
      <c r="L22" s="9">
        <f>IFERROR(Inv_SY!K24/Inv_SY!$P24-1,"")</f>
        <v>-1.1827704978955245E-2</v>
      </c>
      <c r="M22" s="9">
        <f>IFERROR(Inv_SY!L24/Inv_SY!$P24-1,"")</f>
        <v>1.764780313918668E-2</v>
      </c>
      <c r="N22" s="9">
        <f>IFERROR(Inv_SY!M24/Inv_SY!$P24-1,"")</f>
        <v>3.4030857879692178E-2</v>
      </c>
      <c r="O22" s="9">
        <f>IFERROR(Inv_SY!N24/Inv_SY!$P24-1,"")</f>
        <v>-6.9002377722043873E-3</v>
      </c>
      <c r="P22" s="9">
        <f>IFERROR(Inv_SY!O24/Inv_SY!$P24-1,"")</f>
        <v>3.378175384262172E-2</v>
      </c>
      <c r="Q22" s="9">
        <f>IFERROR(Inv_SY!Q24/Inv_SY!$AA24-1,"")</f>
        <v>9.2022304253256415E-3</v>
      </c>
      <c r="R22" s="9">
        <f>IFERROR(Inv_SY!R24/Inv_SY!$AA24-1,"")</f>
        <v>-1.6123703877905515E-2</v>
      </c>
      <c r="S22" s="9">
        <f>IFERROR(Inv_SY!S24/Inv_SY!$AA24-1,"")</f>
        <v>3.6554234057475155E-2</v>
      </c>
      <c r="T22" s="9">
        <f>IFERROR(Inv_SY!T24/Inv_SY!$AA24-1,"")</f>
        <v>4.5435189830123068E-3</v>
      </c>
      <c r="U22" s="9">
        <f>IFERROR(Inv_SY!U24/Inv_SY!$AA24-1,"")</f>
        <v>2.0823301258752203E-3</v>
      </c>
      <c r="V22" s="9">
        <f>IFERROR(Inv_SY!V24/Inv_SY!$AA24-1,"")</f>
        <v>7.9899138371990475E-3</v>
      </c>
      <c r="W22" s="9">
        <f>IFERROR(Inv_SY!W24/Inv_SY!$AA24-1,"")</f>
        <v>2.8396909778609647E-3</v>
      </c>
      <c r="X22" s="9">
        <f>IFERROR(Inv_SY!X24/Inv_SY!$AA24-1,"")</f>
        <v>-1.1326126618846133E-2</v>
      </c>
      <c r="Y22" s="9">
        <f>IFERROR(Inv_SY!Y24/Inv_SY!$AA24-1,"")</f>
        <v>-1.7901747245385624E-2</v>
      </c>
      <c r="Z22" s="9">
        <f>IFERROR(Inv_SY!Z24/Inv_SY!$AA24-1,"")</f>
        <v>-1.786034066460962E-2</v>
      </c>
    </row>
    <row r="23" spans="1:26" x14ac:dyDescent="0.2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45858</v>
      </c>
      <c r="G23" s="9">
        <f>IFERROR(Inv_SY!F25/Inv_SY!$P25-1,"")</f>
        <v>-7.5093203949727627E-4</v>
      </c>
      <c r="H23" s="9">
        <f>IFERROR(Inv_SY!G25/Inv_SY!$P25-1,"")</f>
        <v>-0.18564898922362705</v>
      </c>
      <c r="I23" s="9">
        <f>IFERROR(Inv_SY!H25/Inv_SY!$P25-1,"")</f>
        <v>2.4851691825467093E-4</v>
      </c>
      <c r="J23" s="9">
        <f>IFERROR(Inv_SY!I25/Inv_SY!$P25-1,"")</f>
        <v>5.591212269848489E-3</v>
      </c>
      <c r="K23" s="9">
        <f>IFERROR(Inv_SY!J25/Inv_SY!$P25-1,"")</f>
        <v>6.2390602096424885E-3</v>
      </c>
      <c r="L23" s="9">
        <f>IFERROR(Inv_SY!K25/Inv_SY!$P25-1,"")</f>
        <v>2.072406541204419E-2</v>
      </c>
      <c r="M23" s="9">
        <f>IFERROR(Inv_SY!L25/Inv_SY!$P25-1,"")</f>
        <v>3.9608027336443641E-2</v>
      </c>
      <c r="N23" s="9">
        <f>IFERROR(Inv_SY!M25/Inv_SY!$P25-1,"")</f>
        <v>5.8216556467873826E-2</v>
      </c>
      <c r="O23" s="9">
        <f>IFERROR(Inv_SY!N25/Inv_SY!$P25-1,"")</f>
        <v>7.9501953417624449E-3</v>
      </c>
      <c r="P23" s="9">
        <f>IFERROR(Inv_SY!O25/Inv_SY!$P25-1,"")</f>
        <v>4.7822287307252465E-2</v>
      </c>
      <c r="Q23" s="9">
        <f>IFERROR(Inv_SY!Q25/Inv_SY!$AA25-1,"")</f>
        <v>1.7317621896176805E-2</v>
      </c>
      <c r="R23" s="9">
        <f>IFERROR(Inv_SY!R25/Inv_SY!$AA25-1,"")</f>
        <v>-9.5873862817305033E-3</v>
      </c>
      <c r="S23" s="9">
        <f>IFERROR(Inv_SY!S25/Inv_SY!$AA25-1,"")</f>
        <v>4.1838184154686875E-2</v>
      </c>
      <c r="T23" s="9">
        <f>IFERROR(Inv_SY!T25/Inv_SY!$AA25-1,"")</f>
        <v>6.4777718422714958E-3</v>
      </c>
      <c r="U23" s="9">
        <f>IFERROR(Inv_SY!U25/Inv_SY!$AA25-1,"")</f>
        <v>5.5956044593359344E-3</v>
      </c>
      <c r="V23" s="9">
        <f>IFERROR(Inv_SY!V25/Inv_SY!$AA25-1,"")</f>
        <v>1.6283438552936014E-2</v>
      </c>
      <c r="W23" s="9">
        <f>IFERROR(Inv_SY!W25/Inv_SY!$AA25-1,"")</f>
        <v>1.0391342892757338E-2</v>
      </c>
      <c r="X23" s="9">
        <f>IFERROR(Inv_SY!X25/Inv_SY!$AA25-1,"")</f>
        <v>-4.9605017310647703E-3</v>
      </c>
      <c r="Y23" s="9">
        <f>IFERROR(Inv_SY!Y25/Inv_SY!$AA25-1,"")</f>
        <v>-3.5406012021882316E-2</v>
      </c>
      <c r="Z23" s="9">
        <f>IFERROR(Inv_SY!Z25/Inv_SY!$AA25-1,"")</f>
        <v>-4.7950063763485318E-2</v>
      </c>
    </row>
    <row r="24" spans="1:26" x14ac:dyDescent="0.2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45859</v>
      </c>
      <c r="G24" s="9">
        <f>IFERROR(Inv_SY!F26/Inv_SY!$P26-1,"")</f>
        <v>1.5832226526235615E-5</v>
      </c>
      <c r="H24" s="9">
        <f>IFERROR(Inv_SY!G26/Inv_SY!$P26-1,"")</f>
        <v>-1.7004252812840126E-2</v>
      </c>
      <c r="I24" s="9">
        <f>IFERROR(Inv_SY!H26/Inv_SY!$P26-1,"")</f>
        <v>1.1930139007187979E-3</v>
      </c>
      <c r="J24" s="9">
        <f>IFERROR(Inv_SY!I26/Inv_SY!$P26-1,"")</f>
        <v>1.4487788472418384E-2</v>
      </c>
      <c r="K24" s="9">
        <f>IFERROR(Inv_SY!J26/Inv_SY!$P26-1,"")</f>
        <v>1.8244037689214787E-2</v>
      </c>
      <c r="L24" s="9">
        <f>IFERROR(Inv_SY!K26/Inv_SY!$P26-1,"")</f>
        <v>3.068790853356651E-3</v>
      </c>
      <c r="M24" s="9">
        <f>IFERROR(Inv_SY!L26/Inv_SY!$P26-1,"")</f>
        <v>4.3188729296588235E-2</v>
      </c>
      <c r="N24" s="9">
        <f>IFERROR(Inv_SY!M26/Inv_SY!$P26-1,"")</f>
        <v>3.0622555755531078E-2</v>
      </c>
      <c r="O24" s="9">
        <f>IFERROR(Inv_SY!N26/Inv_SY!$P26-1,"")</f>
        <v>-0.13444509536768279</v>
      </c>
      <c r="P24" s="9">
        <f>IFERROR(Inv_SY!O26/Inv_SY!$P26-1,"")</f>
        <v>4.0628599986167524E-2</v>
      </c>
      <c r="Q24" s="9">
        <f>IFERROR(Inv_SY!Q26/Inv_SY!$AA26-1,"")</f>
        <v>9.7804005067390065E-3</v>
      </c>
      <c r="R24" s="9">
        <f>IFERROR(Inv_SY!R26/Inv_SY!$AA26-1,"")</f>
        <v>-1.252147653000546E-2</v>
      </c>
      <c r="S24" s="9">
        <f>IFERROR(Inv_SY!S26/Inv_SY!$AA26-1,"")</f>
        <v>4.3389311646017337E-2</v>
      </c>
      <c r="T24" s="9">
        <f>IFERROR(Inv_SY!T26/Inv_SY!$AA26-1,"")</f>
        <v>1.430820981308667E-2</v>
      </c>
      <c r="U24" s="9">
        <f>IFERROR(Inv_SY!U26/Inv_SY!$AA26-1,"")</f>
        <v>6.6413881174243183E-3</v>
      </c>
      <c r="V24" s="9">
        <f>IFERROR(Inv_SY!V26/Inv_SY!$AA26-1,"")</f>
        <v>2.2067100430673392E-2</v>
      </c>
      <c r="W24" s="9">
        <f>IFERROR(Inv_SY!W26/Inv_SY!$AA26-1,"")</f>
        <v>-7.5208792744008157E-4</v>
      </c>
      <c r="X24" s="9">
        <f>IFERROR(Inv_SY!X26/Inv_SY!$AA26-1,"")</f>
        <v>-2.0999119212625761E-3</v>
      </c>
      <c r="Y24" s="9">
        <f>IFERROR(Inv_SY!Y26/Inv_SY!$AA26-1,"")</f>
        <v>-3.9391198710324704E-2</v>
      </c>
      <c r="Z24" s="9">
        <f>IFERROR(Inv_SY!Z26/Inv_SY!$AA26-1,"")</f>
        <v>-4.1421735424905903E-2</v>
      </c>
    </row>
    <row r="25" spans="1:26" x14ac:dyDescent="0.2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45860</v>
      </c>
      <c r="G25" s="9">
        <f>IFERROR(Inv_SY!F27/Inv_SY!$P27-1,"")</f>
        <v>-1.8418164518091973E-2</v>
      </c>
      <c r="H25" s="9">
        <f>IFERROR(Inv_SY!G27/Inv_SY!$P27-1,"")</f>
        <v>2.6609528812191474E-3</v>
      </c>
      <c r="I25" s="9">
        <f>IFERROR(Inv_SY!H27/Inv_SY!$P27-1,"")</f>
        <v>-1.7554855955662974E-2</v>
      </c>
      <c r="J25" s="9">
        <f>IFERROR(Inv_SY!I27/Inv_SY!$P27-1,"")</f>
        <v>8.9092437138393876E-4</v>
      </c>
      <c r="K25" s="9">
        <f>IFERROR(Inv_SY!J27/Inv_SY!$P27-1,"")</f>
        <v>-1.7971014954987652E-2</v>
      </c>
      <c r="L25" s="9">
        <f>IFERROR(Inv_SY!K27/Inv_SY!$P27-1,"")</f>
        <v>-2.740132873322576E-2</v>
      </c>
      <c r="M25" s="9">
        <f>IFERROR(Inv_SY!L27/Inv_SY!$P27-1,"")</f>
        <v>2.4951575253326697E-2</v>
      </c>
      <c r="N25" s="9">
        <f>IFERROR(Inv_SY!M27/Inv_SY!$P27-1,"")</f>
        <v>2.2445107436886325E-2</v>
      </c>
      <c r="O25" s="9">
        <f>IFERROR(Inv_SY!N27/Inv_SY!$P27-1,"")</f>
        <v>1.4570395760889365E-2</v>
      </c>
      <c r="P25" s="9">
        <f>IFERROR(Inv_SY!O27/Inv_SY!$P27-1,"")</f>
        <v>1.5826408458263108E-2</v>
      </c>
      <c r="Q25" s="9">
        <f>IFERROR(Inv_SY!Q27/Inv_SY!$AA27-1,"")</f>
        <v>8.0689584381130608E-3</v>
      </c>
      <c r="R25" s="9">
        <f>IFERROR(Inv_SY!R27/Inv_SY!$AA27-1,"")</f>
        <v>-4.6194090160944778E-3</v>
      </c>
      <c r="S25" s="9">
        <f>IFERROR(Inv_SY!S27/Inv_SY!$AA27-1,"")</f>
        <v>5.0687389709582087E-2</v>
      </c>
      <c r="T25" s="9">
        <f>IFERROR(Inv_SY!T27/Inv_SY!$AA27-1,"")</f>
        <v>2.9539406379048394E-2</v>
      </c>
      <c r="U25" s="9">
        <f>IFERROR(Inv_SY!U27/Inv_SY!$AA27-1,"")</f>
        <v>1.204966474988467E-2</v>
      </c>
      <c r="V25" s="9">
        <f>IFERROR(Inv_SY!V27/Inv_SY!$AA27-1,"")</f>
        <v>1.7943645436514055E-2</v>
      </c>
      <c r="W25" s="9">
        <f>IFERROR(Inv_SY!W27/Inv_SY!$AA27-1,"")</f>
        <v>-5.3347928209070972E-3</v>
      </c>
      <c r="X25" s="9">
        <f>IFERROR(Inv_SY!X27/Inv_SY!$AA27-1,"")</f>
        <v>-1.1278260120094807E-2</v>
      </c>
      <c r="Y25" s="9">
        <f>IFERROR(Inv_SY!Y27/Inv_SY!$AA27-1,"")</f>
        <v>-5.0530383434866821E-2</v>
      </c>
      <c r="Z25" s="9">
        <f>IFERROR(Inv_SY!Z27/Inv_SY!$AA27-1,"")</f>
        <v>-4.6526219321179951E-2</v>
      </c>
    </row>
    <row r="26" spans="1:26" x14ac:dyDescent="0.2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45861</v>
      </c>
      <c r="G26" s="9">
        <f>IFERROR(Inv_SY!F28/Inv_SY!$P28-1,"")</f>
        <v>-7.9914184629578111E-3</v>
      </c>
      <c r="H26" s="9">
        <f>IFERROR(Inv_SY!G28/Inv_SY!$P28-1,"")</f>
        <v>-1.2803400388323949E-2</v>
      </c>
      <c r="I26" s="9">
        <f>IFERROR(Inv_SY!H28/Inv_SY!$P28-1,"")</f>
        <v>-7.9988503603667382E-4</v>
      </c>
      <c r="J26" s="9">
        <f>IFERROR(Inv_SY!I28/Inv_SY!$P28-1,"")</f>
        <v>-9.2301411135676803E-3</v>
      </c>
      <c r="K26" s="9">
        <f>IFERROR(Inv_SY!J28/Inv_SY!$P28-1,"")</f>
        <v>-3.9368254086845633E-3</v>
      </c>
      <c r="L26" s="9">
        <f>IFERROR(Inv_SY!K28/Inv_SY!$P28-1,"")</f>
        <v>-3.9233269715501784E-3</v>
      </c>
      <c r="M26" s="9">
        <f>IFERROR(Inv_SY!L28/Inv_SY!$P28-1,"")</f>
        <v>1.05561880619085E-2</v>
      </c>
      <c r="N26" s="9">
        <f>IFERROR(Inv_SY!M28/Inv_SY!$P28-1,"")</f>
        <v>1.0198930793371863E-2</v>
      </c>
      <c r="O26" s="9">
        <f>IFERROR(Inv_SY!N28/Inv_SY!$P28-1,"")</f>
        <v>6.4618535983060887E-3</v>
      </c>
      <c r="P26" s="9">
        <f>IFERROR(Inv_SY!O28/Inv_SY!$P28-1,"")</f>
        <v>1.1468024927534293E-2</v>
      </c>
      <c r="Q26" s="9">
        <f>IFERROR(Inv_SY!Q28/Inv_SY!$AA28-1,"")</f>
        <v>-5.268657632613083E-3</v>
      </c>
      <c r="R26" s="9">
        <f>IFERROR(Inv_SY!R28/Inv_SY!$AA28-1,"")</f>
        <v>-2.7302835252257518E-2</v>
      </c>
      <c r="S26" s="9">
        <f>IFERROR(Inv_SY!S28/Inv_SY!$AA28-1,"")</f>
        <v>3.2453343653156885E-2</v>
      </c>
      <c r="T26" s="9">
        <f>IFERROR(Inv_SY!T28/Inv_SY!$AA28-1,"")</f>
        <v>4.1234776678704677E-3</v>
      </c>
      <c r="U26" s="9">
        <f>IFERROR(Inv_SY!U28/Inv_SY!$AA28-1,"")</f>
        <v>-3.9194201383970784E-3</v>
      </c>
      <c r="V26" s="9">
        <f>IFERROR(Inv_SY!V28/Inv_SY!$AA28-1,"")</f>
        <v>7.6861617561423401E-3</v>
      </c>
      <c r="W26" s="9">
        <f>IFERROR(Inv_SY!W28/Inv_SY!$AA28-1,"")</f>
        <v>-1.1429608411075876E-2</v>
      </c>
      <c r="X26" s="9">
        <f>IFERROR(Inv_SY!X28/Inv_SY!$AA28-1,"")</f>
        <v>-1.5402768734205541E-2</v>
      </c>
      <c r="Y26" s="9">
        <f>IFERROR(Inv_SY!Y28/Inv_SY!$AA28-1,"")</f>
        <v>3.7059460986055281E-3</v>
      </c>
      <c r="Z26" s="9">
        <f>IFERROR(Inv_SY!Z28/Inv_SY!$AA28-1,"")</f>
        <v>1.5354360992774208E-2</v>
      </c>
    </row>
    <row r="27" spans="1:26" x14ac:dyDescent="0.2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45862</v>
      </c>
      <c r="G27" s="9">
        <f>IFERROR(Inv_SY!F29/Inv_SY!$P29-1,"")</f>
        <v>-1.9445697153531727E-3</v>
      </c>
      <c r="H27" s="9">
        <f>IFERROR(Inv_SY!G29/Inv_SY!$P29-1,"")</f>
        <v>-1.5984167114300174E-2</v>
      </c>
      <c r="I27" s="9">
        <f>IFERROR(Inv_SY!H29/Inv_SY!$P29-1,"")</f>
        <v>6.2303857321350797E-3</v>
      </c>
      <c r="J27" s="9">
        <f>IFERROR(Inv_SY!I29/Inv_SY!$P29-1,"")</f>
        <v>-2.0721145200241819E-2</v>
      </c>
      <c r="K27" s="9">
        <f>IFERROR(Inv_SY!J29/Inv_SY!$P29-1,"")</f>
        <v>-9.993756617495464E-3</v>
      </c>
      <c r="L27" s="9">
        <f>IFERROR(Inv_SY!K29/Inv_SY!$P29-1,"")</f>
        <v>-9.5741230813329858E-3</v>
      </c>
      <c r="M27" s="9">
        <f>IFERROR(Inv_SY!L29/Inv_SY!$P29-1,"")</f>
        <v>1.951403389575801E-2</v>
      </c>
      <c r="N27" s="9">
        <f>IFERROR(Inv_SY!M29/Inv_SY!$P29-1,"")</f>
        <v>1.5827072561795053E-2</v>
      </c>
      <c r="O27" s="9">
        <f>IFERROR(Inv_SY!N29/Inv_SY!$P29-1,"")</f>
        <v>1.3259346571244057E-2</v>
      </c>
      <c r="P27" s="9">
        <f>IFERROR(Inv_SY!O29/Inv_SY!$P29-1,"")</f>
        <v>3.3869229677911949E-3</v>
      </c>
      <c r="Q27" s="9">
        <f>IFERROR(Inv_SY!Q29/Inv_SY!$AA29-1,"")</f>
        <v>7.9630336679494818E-3</v>
      </c>
      <c r="R27" s="9">
        <f>IFERROR(Inv_SY!R29/Inv_SY!$AA29-1,"")</f>
        <v>-1.7534500214583915E-2</v>
      </c>
      <c r="S27" s="9">
        <f>IFERROR(Inv_SY!S29/Inv_SY!$AA29-1,"")</f>
        <v>3.5602220319951083E-2</v>
      </c>
      <c r="T27" s="9">
        <f>IFERROR(Inv_SY!T29/Inv_SY!$AA29-1,"")</f>
        <v>5.9031848516193364E-3</v>
      </c>
      <c r="U27" s="9">
        <f>IFERROR(Inv_SY!U29/Inv_SY!$AA29-1,"")</f>
        <v>1.3800176847982293E-3</v>
      </c>
      <c r="V27" s="9">
        <f>IFERROR(Inv_SY!V29/Inv_SY!$AA29-1,"")</f>
        <v>1.7530321334132237E-2</v>
      </c>
      <c r="W27" s="9">
        <f>IFERROR(Inv_SY!W29/Inv_SY!$AA29-1,"")</f>
        <v>-1.0240831406854722E-3</v>
      </c>
      <c r="X27" s="9">
        <f>IFERROR(Inv_SY!X29/Inv_SY!$AA29-1,"")</f>
        <v>-5.8433627789772347E-3</v>
      </c>
      <c r="Y27" s="9">
        <f>IFERROR(Inv_SY!Y29/Inv_SY!$AA29-1,"")</f>
        <v>-2.2299495095973731E-2</v>
      </c>
      <c r="Z27" s="9">
        <f>IFERROR(Inv_SY!Z29/Inv_SY!$AA29-1,"")</f>
        <v>-2.1677336628229571E-2</v>
      </c>
    </row>
    <row r="28" spans="1:26" x14ac:dyDescent="0.2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45863</v>
      </c>
      <c r="G28" s="9">
        <f>IFERROR(Inv_SY!F30/Inv_SY!$P30-1,"")</f>
        <v>-8.3793471048354551E-4</v>
      </c>
      <c r="H28" s="9">
        <f>IFERROR(Inv_SY!G30/Inv_SY!$P30-1,"")</f>
        <v>-2.3216659395122186E-3</v>
      </c>
      <c r="I28" s="9">
        <f>IFERROR(Inv_SY!H30/Inv_SY!$P30-1,"")</f>
        <v>-5.7255199355196185E-3</v>
      </c>
      <c r="J28" s="9">
        <f>IFERROR(Inv_SY!I30/Inv_SY!$P30-1,"")</f>
        <v>-2.2855342438503179E-2</v>
      </c>
      <c r="K28" s="9">
        <f>IFERROR(Inv_SY!J30/Inv_SY!$P30-1,"")</f>
        <v>-9.2488780757653544E-3</v>
      </c>
      <c r="L28" s="9">
        <f>IFERROR(Inv_SY!K30/Inv_SY!$P30-1,"")</f>
        <v>-2.5872804357162105E-3</v>
      </c>
      <c r="M28" s="9">
        <f>IFERROR(Inv_SY!L30/Inv_SY!$P30-1,"")</f>
        <v>-4.5602426339275137E-4</v>
      </c>
      <c r="N28" s="9">
        <f>IFERROR(Inv_SY!M30/Inv_SY!$P30-1,"")</f>
        <v>1.3824820964624784E-2</v>
      </c>
      <c r="O28" s="9">
        <f>IFERROR(Inv_SY!N30/Inv_SY!$P30-1,"")</f>
        <v>1.4288324487485182E-2</v>
      </c>
      <c r="P28" s="9">
        <f>IFERROR(Inv_SY!O30/Inv_SY!$P30-1,"")</f>
        <v>1.5919500346782911E-2</v>
      </c>
      <c r="Q28" s="9">
        <f>IFERROR(Inv_SY!Q30/Inv_SY!$AA30-1,"")</f>
        <v>7.4448214110096611E-3</v>
      </c>
      <c r="R28" s="9">
        <f>IFERROR(Inv_SY!R30/Inv_SY!$AA30-1,"")</f>
        <v>-2.0869940916628305E-2</v>
      </c>
      <c r="S28" s="9">
        <f>IFERROR(Inv_SY!S30/Inv_SY!$AA30-1,"")</f>
        <v>3.1382473943526668E-2</v>
      </c>
      <c r="T28" s="9">
        <f>IFERROR(Inv_SY!T30/Inv_SY!$AA30-1,"")</f>
        <v>2.3800919139653764E-3</v>
      </c>
      <c r="U28" s="9">
        <f>IFERROR(Inv_SY!U30/Inv_SY!$AA30-1,"")</f>
        <v>-1.6485812561372049E-3</v>
      </c>
      <c r="V28" s="9">
        <f>IFERROR(Inv_SY!V30/Inv_SY!$AA30-1,"")</f>
        <v>1.3807713050076886E-2</v>
      </c>
      <c r="W28" s="9">
        <f>IFERROR(Inv_SY!W30/Inv_SY!$AA30-1,"")</f>
        <v>3.8607688868064205E-3</v>
      </c>
      <c r="X28" s="9">
        <f>IFERROR(Inv_SY!X30/Inv_SY!$AA30-1,"")</f>
        <v>1.983476870186518E-4</v>
      </c>
      <c r="Y28" s="9">
        <f>IFERROR(Inv_SY!Y30/Inv_SY!$AA30-1,"")</f>
        <v>-2.0576418366522908E-2</v>
      </c>
      <c r="Z28" s="9">
        <f>IFERROR(Inv_SY!Z30/Inv_SY!$AA30-1,"")</f>
        <v>-1.5979276353116023E-2</v>
      </c>
    </row>
    <row r="29" spans="1:26" x14ac:dyDescent="0.2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45864</v>
      </c>
      <c r="G29" s="9">
        <f>IFERROR(Inv_SY!F31/Inv_SY!$P31-1,"")</f>
        <v>7.0503188186816335E-2</v>
      </c>
      <c r="H29" s="9">
        <f>IFERROR(Inv_SY!G31/Inv_SY!$P31-1,"")</f>
        <v>6.2500652098655074E-2</v>
      </c>
      <c r="I29" s="9">
        <f>IFERROR(Inv_SY!H31/Inv_SY!$P31-1,"")</f>
        <v>5.8958545961272257E-2</v>
      </c>
      <c r="J29" s="9">
        <f>IFERROR(Inv_SY!I31/Inv_SY!$P31-1,"")</f>
        <v>4.5307701719754734E-2</v>
      </c>
      <c r="K29" s="9">
        <f>IFERROR(Inv_SY!J31/Inv_SY!$P31-1,"")</f>
        <v>-0.72874127358162122</v>
      </c>
      <c r="L29" s="9">
        <f>IFERROR(Inv_SY!K31/Inv_SY!$P31-1,"")</f>
        <v>-0.67850817609673619</v>
      </c>
      <c r="M29" s="9">
        <f>IFERROR(Inv_SY!L31/Inv_SY!$P31-1,"")</f>
        <v>0.28634350944953746</v>
      </c>
      <c r="N29" s="9">
        <f>IFERROR(Inv_SY!M31/Inv_SY!$P31-1,"")</f>
        <v>0.31294067492324218</v>
      </c>
      <c r="O29" s="9">
        <f>IFERROR(Inv_SY!N31/Inv_SY!$P31-1,"")</f>
        <v>0.28819037737408815</v>
      </c>
      <c r="P29" s="9">
        <f>IFERROR(Inv_SY!O31/Inv_SY!$P31-1,"")</f>
        <v>0.28250479996498989</v>
      </c>
      <c r="Q29" s="9">
        <f>IFERROR(Inv_SY!Q31/Inv_SY!$AA31-1,"")</f>
        <v>-4.9654945017625352E-3</v>
      </c>
      <c r="R29" s="9">
        <f>IFERROR(Inv_SY!R31/Inv_SY!$AA31-1,"")</f>
        <v>-2.9503159827966363E-2</v>
      </c>
      <c r="S29" s="9">
        <f>IFERROR(Inv_SY!S31/Inv_SY!$AA31-1,"")</f>
        <v>2.7750850602860755E-2</v>
      </c>
      <c r="T29" s="9">
        <f>IFERROR(Inv_SY!T31/Inv_SY!$AA31-1,"")</f>
        <v>-7.6653798749815039E-4</v>
      </c>
      <c r="U29" s="9">
        <f>IFERROR(Inv_SY!U31/Inv_SY!$AA31-1,"")</f>
        <v>-6.320088691846748E-3</v>
      </c>
      <c r="V29" s="9">
        <f>IFERROR(Inv_SY!V31/Inv_SY!$AA31-1,"")</f>
        <v>4.8103926984812695E-3</v>
      </c>
      <c r="W29" s="9">
        <f>IFERROR(Inv_SY!W31/Inv_SY!$AA31-1,"")</f>
        <v>-7.5761695296682197E-3</v>
      </c>
      <c r="X29" s="9">
        <f>IFERROR(Inv_SY!X31/Inv_SY!$AA31-1,"")</f>
        <v>-1.0379896968286784E-2</v>
      </c>
      <c r="Y29" s="9">
        <f>IFERROR(Inv_SY!Y31/Inv_SY!$AA31-1,"")</f>
        <v>5.3737717605384372E-3</v>
      </c>
      <c r="Z29" s="9">
        <f>IFERROR(Inv_SY!Z31/Inv_SY!$AA31-1,"")</f>
        <v>2.1576332445147228E-2</v>
      </c>
    </row>
    <row r="30" spans="1:26" x14ac:dyDescent="0.2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45865</v>
      </c>
      <c r="G30" s="9">
        <f>IFERROR(Inv_SY!F32/Inv_SY!$P32-1,"")</f>
        <v>0.29064077366099905</v>
      </c>
      <c r="H30" s="9">
        <f>IFERROR(Inv_SY!G32/Inv_SY!$P32-1,"")</f>
        <v>-0.39493412472710898</v>
      </c>
      <c r="I30" s="9">
        <f>IFERROR(Inv_SY!H32/Inv_SY!$P32-1,"")</f>
        <v>0.29114005442450419</v>
      </c>
      <c r="J30" s="9">
        <f>IFERROR(Inv_SY!I32/Inv_SY!$P32-1,"")</f>
        <v>0.2812175960373049</v>
      </c>
      <c r="K30" s="9">
        <f>IFERROR(Inv_SY!J32/Inv_SY!$P32-1,"")</f>
        <v>-0.86751392909326042</v>
      </c>
      <c r="L30" s="9">
        <f>IFERROR(Inv_SY!K32/Inv_SY!$P32-1,"")</f>
        <v>-0.86643058940811635</v>
      </c>
      <c r="M30" s="9">
        <f>IFERROR(Inv_SY!L32/Inv_SY!$P32-1,"")</f>
        <v>0.32141951242046729</v>
      </c>
      <c r="N30" s="9">
        <f>IFERROR(Inv_SY!M32/Inv_SY!$P32-1,"")</f>
        <v>0.30112566969460874</v>
      </c>
      <c r="O30" s="9">
        <f>IFERROR(Inv_SY!N32/Inv_SY!$P32-1,"")</f>
        <v>0.32273741751929075</v>
      </c>
      <c r="P30" s="9">
        <f>IFERROR(Inv_SY!O32/Inv_SY!$P32-1,"")</f>
        <v>0.32059761947131227</v>
      </c>
      <c r="Q30" s="9">
        <f>IFERROR(Inv_SY!Q32/Inv_SY!$AA32-1,"")</f>
        <v>6.3277476861760551E-3</v>
      </c>
      <c r="R30" s="9">
        <f>IFERROR(Inv_SY!R32/Inv_SY!$AA32-1,"")</f>
        <v>-1.7489119271318021E-2</v>
      </c>
      <c r="S30" s="9">
        <f>IFERROR(Inv_SY!S32/Inv_SY!$AA32-1,"")</f>
        <v>3.9895055745387875E-2</v>
      </c>
      <c r="T30" s="9">
        <f>IFERROR(Inv_SY!T32/Inv_SY!$AA32-1,"")</f>
        <v>1.2225031749730775E-2</v>
      </c>
      <c r="U30" s="9">
        <f>IFERROR(Inv_SY!U32/Inv_SY!$AA32-1,"")</f>
        <v>3.17270890135668E-3</v>
      </c>
      <c r="V30" s="9">
        <f>IFERROR(Inv_SY!V32/Inv_SY!$AA32-1,"")</f>
        <v>1.4521669047209862E-2</v>
      </c>
      <c r="W30" s="9">
        <f>IFERROR(Inv_SY!W32/Inv_SY!$AA32-1,"")</f>
        <v>-2.9771731887996422E-3</v>
      </c>
      <c r="X30" s="9">
        <f>IFERROR(Inv_SY!X32/Inv_SY!$AA32-1,"")</f>
        <v>-6.2820771154369348E-3</v>
      </c>
      <c r="Y30" s="9">
        <f>IFERROR(Inv_SY!Y32/Inv_SY!$AA32-1,"")</f>
        <v>-6.7690462503616877E-2</v>
      </c>
      <c r="Z30" s="9">
        <f>IFERROR(Inv_SY!Z32/Inv_SY!$AA32-1,"")</f>
        <v>1.8296618949309229E-2</v>
      </c>
    </row>
    <row r="31" spans="1:26" x14ac:dyDescent="0.2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45866</v>
      </c>
      <c r="G31" s="9">
        <f>IFERROR(Inv_SY!F33/Inv_SY!$P33-1,"")</f>
        <v>-1.2252569220572163E-4</v>
      </c>
      <c r="H31" s="9">
        <f>IFERROR(Inv_SY!G33/Inv_SY!$P33-1,"")</f>
        <v>-2.0174234133637503E-2</v>
      </c>
      <c r="I31" s="9">
        <f>IFERROR(Inv_SY!H33/Inv_SY!$P33-1,"")</f>
        <v>-3.4752229235704979E-3</v>
      </c>
      <c r="J31" s="9">
        <f>IFERROR(Inv_SY!I33/Inv_SY!$P33-1,"")</f>
        <v>-5.714762954515118E-3</v>
      </c>
      <c r="K31" s="9">
        <f>IFERROR(Inv_SY!J33/Inv_SY!$P33-1,"")</f>
        <v>7.9826448385444948E-5</v>
      </c>
      <c r="L31" s="9">
        <f>IFERROR(Inv_SY!K33/Inv_SY!$P33-1,"")</f>
        <v>6.8056395799853675E-4</v>
      </c>
      <c r="M31" s="9">
        <f>IFERROR(Inv_SY!L33/Inv_SY!$P33-1,"")</f>
        <v>1.7273595817805854E-2</v>
      </c>
      <c r="N31" s="9">
        <f>IFERROR(Inv_SY!M33/Inv_SY!$P33-1,"")</f>
        <v>1.4061962594337674E-2</v>
      </c>
      <c r="O31" s="9">
        <f>IFERROR(Inv_SY!N33/Inv_SY!$P33-1,"")</f>
        <v>-1.7444865070020188E-2</v>
      </c>
      <c r="P31" s="9">
        <f>IFERROR(Inv_SY!O33/Inv_SY!$P33-1,"")</f>
        <v>1.4835661955421742E-2</v>
      </c>
      <c r="Q31" s="9">
        <f>IFERROR(Inv_SY!Q33/Inv_SY!$AA33-1,"")</f>
        <v>8.9761148764126997E-3</v>
      </c>
      <c r="R31" s="9">
        <f>IFERROR(Inv_SY!R33/Inv_SY!$AA33-1,"")</f>
        <v>-2.0741657786463641E-2</v>
      </c>
      <c r="S31" s="9">
        <f>IFERROR(Inv_SY!S33/Inv_SY!$AA33-1,"")</f>
        <v>3.4009926099105803E-2</v>
      </c>
      <c r="T31" s="9">
        <f>IFERROR(Inv_SY!T33/Inv_SY!$AA33-1,"")</f>
        <v>2.7263380151631988E-3</v>
      </c>
      <c r="U31" s="9">
        <f>IFERROR(Inv_SY!U33/Inv_SY!$AA33-1,"")</f>
        <v>-3.6049169733702868E-3</v>
      </c>
      <c r="V31" s="9">
        <f>IFERROR(Inv_SY!V33/Inv_SY!$AA33-1,"")</f>
        <v>1.7765935077788342E-2</v>
      </c>
      <c r="W31" s="9">
        <f>IFERROR(Inv_SY!W33/Inv_SY!$AA33-1,"")</f>
        <v>2.0684832123070152E-3</v>
      </c>
      <c r="X31" s="9">
        <f>IFERROR(Inv_SY!X33/Inv_SY!$AA33-1,"")</f>
        <v>3.7756560988044807E-3</v>
      </c>
      <c r="Y31" s="9">
        <f>IFERROR(Inv_SY!Y33/Inv_SY!$AA33-1,"")</f>
        <v>-1.9510759924514565E-2</v>
      </c>
      <c r="Z31" s="9">
        <f>IFERROR(Inv_SY!Z33/Inv_SY!$AA33-1,"")</f>
        <v>-2.5465118695234157E-2</v>
      </c>
    </row>
    <row r="32" spans="1:26" x14ac:dyDescent="0.2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45867</v>
      </c>
      <c r="G32" s="9">
        <f>IFERROR(Inv_SY!F34/Inv_SY!$P34-1,"")</f>
        <v>-1.5905696386447565E-2</v>
      </c>
      <c r="H32" s="9">
        <f>IFERROR(Inv_SY!G34/Inv_SY!$P34-1,"")</f>
        <v>-2.5822407552843041E-2</v>
      </c>
      <c r="I32" s="9">
        <f>IFERROR(Inv_SY!H34/Inv_SY!$P34-1,"")</f>
        <v>5.0419631560512101E-3</v>
      </c>
      <c r="J32" s="9">
        <f>IFERROR(Inv_SY!I34/Inv_SY!$P34-1,"")</f>
        <v>1.7209648674259004E-3</v>
      </c>
      <c r="K32" s="9">
        <f>IFERROR(Inv_SY!J34/Inv_SY!$P34-1,"")</f>
        <v>-1.0752696388871552E-4</v>
      </c>
      <c r="L32" s="9">
        <f>IFERROR(Inv_SY!K34/Inv_SY!$P34-1,"")</f>
        <v>8.4823213281095544E-3</v>
      </c>
      <c r="M32" s="9">
        <f>IFERROR(Inv_SY!L34/Inv_SY!$P34-1,"")</f>
        <v>1.0186493005597486E-2</v>
      </c>
      <c r="N32" s="9">
        <f>IFERROR(Inv_SY!M34/Inv_SY!$P34-1,"")</f>
        <v>1.4401555717593162E-2</v>
      </c>
      <c r="O32" s="9">
        <f>IFERROR(Inv_SY!N34/Inv_SY!$P34-1,"")</f>
        <v>-3.931020095412463E-3</v>
      </c>
      <c r="P32" s="9">
        <f>IFERROR(Inv_SY!O34/Inv_SY!$P34-1,"")</f>
        <v>5.9333529238170257E-3</v>
      </c>
      <c r="Q32" s="9">
        <f>IFERROR(Inv_SY!Q34/Inv_SY!$AA34-1,"")</f>
        <v>4.2313394753041855E-3</v>
      </c>
      <c r="R32" s="9">
        <f>IFERROR(Inv_SY!R34/Inv_SY!$AA34-1,"")</f>
        <v>-2.1876251396321211E-2</v>
      </c>
      <c r="S32" s="9">
        <f>IFERROR(Inv_SY!S34/Inv_SY!$AA34-1,"")</f>
        <v>3.3325592562645001E-2</v>
      </c>
      <c r="T32" s="9">
        <f>IFERROR(Inv_SY!T34/Inv_SY!$AA34-1,"")</f>
        <v>3.9629704993011661E-3</v>
      </c>
      <c r="U32" s="9">
        <f>IFERROR(Inv_SY!U34/Inv_SY!$AA34-1,"")</f>
        <v>-2.5961032746752988E-3</v>
      </c>
      <c r="V32" s="9">
        <f>IFERROR(Inv_SY!V34/Inv_SY!$AA34-1,"")</f>
        <v>1.2006524324838619E-2</v>
      </c>
      <c r="W32" s="9">
        <f>IFERROR(Inv_SY!W34/Inv_SY!$AA34-1,"")</f>
        <v>-4.7349142861581317E-3</v>
      </c>
      <c r="X32" s="9">
        <f>IFERROR(Inv_SY!X34/Inv_SY!$AA34-1,"")</f>
        <v>-5.932779866813287E-3</v>
      </c>
      <c r="Y32" s="9">
        <f>IFERROR(Inv_SY!Y34/Inv_SY!$AA34-1,"")</f>
        <v>-1.1958705834708261E-2</v>
      </c>
      <c r="Z32" s="9">
        <f>IFERROR(Inv_SY!Z34/Inv_SY!$AA34-1,"")</f>
        <v>-6.4276722034124489E-3</v>
      </c>
    </row>
    <row r="33" spans="1:26" x14ac:dyDescent="0.2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45868</v>
      </c>
      <c r="G33" s="9">
        <f>IFERROR(Inv_SY!F35/Inv_SY!$P35-1,"")</f>
        <v>-9.7675026046195601E-4</v>
      </c>
      <c r="H33" s="9">
        <f>IFERROR(Inv_SY!G35/Inv_SY!$P35-1,"")</f>
        <v>-2.1798520186966486E-2</v>
      </c>
      <c r="I33" s="9">
        <f>IFERROR(Inv_SY!H35/Inv_SY!$P35-1,"")</f>
        <v>-1.3984569931507762E-3</v>
      </c>
      <c r="J33" s="9">
        <f>IFERROR(Inv_SY!I35/Inv_SY!$P35-1,"")</f>
        <v>-2.7363846783988732E-3</v>
      </c>
      <c r="K33" s="9">
        <f>IFERROR(Inv_SY!J35/Inv_SY!$P35-1,"")</f>
        <v>1.0746696908283893E-2</v>
      </c>
      <c r="L33" s="9">
        <f>IFERROR(Inv_SY!K35/Inv_SY!$P35-1,"")</f>
        <v>-7.0423588378186741E-3</v>
      </c>
      <c r="M33" s="9">
        <f>IFERROR(Inv_SY!L35/Inv_SY!$P35-1,"")</f>
        <v>1.332856359509571E-2</v>
      </c>
      <c r="N33" s="9">
        <f>IFERROR(Inv_SY!M35/Inv_SY!$P35-1,"")</f>
        <v>2.3060533502794023E-2</v>
      </c>
      <c r="O33" s="9">
        <f>IFERROR(Inv_SY!N35/Inv_SY!$P35-1,"")</f>
        <v>-9.6763323927828715E-3</v>
      </c>
      <c r="P33" s="9">
        <f>IFERROR(Inv_SY!O35/Inv_SY!$P35-1,"")</f>
        <v>-3.5069906565942111E-3</v>
      </c>
      <c r="Q33" s="9">
        <f>IFERROR(Inv_SY!Q35/Inv_SY!$AA35-1,"")</f>
        <v>8.3072994730690741E-3</v>
      </c>
      <c r="R33" s="9">
        <f>IFERROR(Inv_SY!R35/Inv_SY!$AA35-1,"")</f>
        <v>-1.7306062303311887E-2</v>
      </c>
      <c r="S33" s="9">
        <f>IFERROR(Inv_SY!S35/Inv_SY!$AA35-1,"")</f>
        <v>3.6322445145397619E-2</v>
      </c>
      <c r="T33" s="9">
        <f>IFERROR(Inv_SY!T35/Inv_SY!$AA35-1,"")</f>
        <v>7.117276562125241E-3</v>
      </c>
      <c r="U33" s="9">
        <f>IFERROR(Inv_SY!U35/Inv_SY!$AA35-1,"")</f>
        <v>-5.4449103571974078E-4</v>
      </c>
      <c r="V33" s="9">
        <f>IFERROR(Inv_SY!V35/Inv_SY!$AA35-1,"")</f>
        <v>1.3885582207595171E-2</v>
      </c>
      <c r="W33" s="9">
        <f>IFERROR(Inv_SY!W35/Inv_SY!$AA35-1,"")</f>
        <v>-2.7763023071889492E-3</v>
      </c>
      <c r="X33" s="9">
        <f>IFERROR(Inv_SY!X35/Inv_SY!$AA35-1,"")</f>
        <v>-4.6823817783934185E-3</v>
      </c>
      <c r="Y33" s="9">
        <f>IFERROR(Inv_SY!Y35/Inv_SY!$AA35-1,"")</f>
        <v>-2.4167456426803624E-2</v>
      </c>
      <c r="Z33" s="9">
        <f>IFERROR(Inv_SY!Z35/Inv_SY!$AA35-1,"")</f>
        <v>-1.6155909536769153E-2</v>
      </c>
    </row>
    <row r="34" spans="1:26" x14ac:dyDescent="0.2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45869</v>
      </c>
      <c r="G34" s="9">
        <f>IFERROR(Inv_SY!F36/Inv_SY!$P36-1,"")</f>
        <v>1.3217001558701647E-2</v>
      </c>
      <c r="H34" s="9">
        <f>IFERROR(Inv_SY!G36/Inv_SY!$P36-1,"")</f>
        <v>1.6816230853782921E-2</v>
      </c>
      <c r="I34" s="9">
        <f>IFERROR(Inv_SY!H36/Inv_SY!$P36-1,"")</f>
        <v>7.2156400596701253E-4</v>
      </c>
      <c r="J34" s="9">
        <f>IFERROR(Inv_SY!I36/Inv_SY!$P36-1,"")</f>
        <v>3.2754438476629844E-3</v>
      </c>
      <c r="K34" s="9">
        <f>IFERROR(Inv_SY!J36/Inv_SY!$P36-1,"")</f>
        <v>1.6384741245983658E-2</v>
      </c>
      <c r="L34" s="9">
        <f>IFERROR(Inv_SY!K36/Inv_SY!$P36-1,"")</f>
        <v>-1.5347757519177385E-2</v>
      </c>
      <c r="M34" s="9">
        <f>IFERROR(Inv_SY!L36/Inv_SY!$P36-1,"")</f>
        <v>-3.8163791445443573E-3</v>
      </c>
      <c r="N34" s="9">
        <f>IFERROR(Inv_SY!M36/Inv_SY!$P36-1,"")</f>
        <v>-4.1679550364075446E-3</v>
      </c>
      <c r="O34" s="9">
        <f>IFERROR(Inv_SY!N36/Inv_SY!$P36-1,"")</f>
        <v>-2.5088054349951094E-2</v>
      </c>
      <c r="P34" s="9">
        <f>IFERROR(Inv_SY!O36/Inv_SY!$P36-1,"")</f>
        <v>-1.9948354620188402E-3</v>
      </c>
      <c r="Q34" s="9">
        <f>IFERROR(Inv_SY!Q36/Inv_SY!$AA36-1,"")</f>
        <v>4.0261721205461232E-3</v>
      </c>
      <c r="R34" s="9">
        <f>IFERROR(Inv_SY!R36/Inv_SY!$AA36-1,"")</f>
        <v>-2.1135952940543046E-2</v>
      </c>
      <c r="S34" s="9">
        <f>IFERROR(Inv_SY!S36/Inv_SY!$AA36-1,"")</f>
        <v>3.5689705304270181E-2</v>
      </c>
      <c r="T34" s="9">
        <f>IFERROR(Inv_SY!T36/Inv_SY!$AA36-1,"")</f>
        <v>6.46172587597027E-3</v>
      </c>
      <c r="U34" s="9">
        <f>IFERROR(Inv_SY!U36/Inv_SY!$AA36-1,"")</f>
        <v>-6.2812604643280867E-4</v>
      </c>
      <c r="V34" s="9">
        <f>IFERROR(Inv_SY!V36/Inv_SY!$AA36-1,"")</f>
        <v>1.2621288961514043E-2</v>
      </c>
      <c r="W34" s="9">
        <f>IFERROR(Inv_SY!W36/Inv_SY!$AA36-1,"")</f>
        <v>-7.8427350186884848E-3</v>
      </c>
      <c r="X34" s="9">
        <f>IFERROR(Inv_SY!X36/Inv_SY!$AA36-1,"")</f>
        <v>-1.027269489429572E-2</v>
      </c>
      <c r="Y34" s="9">
        <f>IFERROR(Inv_SY!Y36/Inv_SY!$AA36-1,"")</f>
        <v>-1.3248815425345728E-2</v>
      </c>
      <c r="Z34" s="9">
        <f>IFERROR(Inv_SY!Z36/Inv_SY!$AA36-1,"")</f>
        <v>-5.6705679369956075E-3</v>
      </c>
    </row>
    <row r="35" spans="1:26" x14ac:dyDescent="0.25">
      <c r="A35" s="325"/>
      <c r="B35" s="326"/>
      <c r="C35" s="326"/>
      <c r="D35" s="326"/>
      <c r="E35" s="326"/>
      <c r="F35" s="73">
        <f t="shared" si="0"/>
        <v>45870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25">
      <c r="A36" s="325"/>
      <c r="B36" s="326"/>
      <c r="C36" s="326"/>
      <c r="D36" s="326"/>
      <c r="E36" s="326"/>
      <c r="F36" s="73">
        <f t="shared" si="0"/>
        <v>45871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25">
      <c r="A37" s="325"/>
      <c r="B37" s="326"/>
      <c r="C37" s="326"/>
      <c r="D37" s="326"/>
      <c r="E37" s="326"/>
      <c r="F37" s="73">
        <f t="shared" si="0"/>
        <v>45872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25">
      <c r="A38" s="325"/>
      <c r="B38" s="326"/>
      <c r="C38" s="326"/>
      <c r="D38" s="326"/>
      <c r="E38" s="326"/>
      <c r="F38" s="73">
        <f t="shared" si="0"/>
        <v>45873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25">
      <c r="A39" s="325"/>
      <c r="B39" s="326"/>
      <c r="C39" s="326"/>
      <c r="D39" s="326"/>
      <c r="E39" s="326"/>
      <c r="F39" s="73">
        <f t="shared" si="0"/>
        <v>45874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25">
      <c r="A40" s="325"/>
      <c r="B40" s="326"/>
      <c r="C40" s="326"/>
      <c r="D40" s="326"/>
      <c r="E40" s="326"/>
      <c r="F40" s="73">
        <f t="shared" si="0"/>
        <v>45875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25">
      <c r="A41" s="325"/>
      <c r="B41" s="326"/>
      <c r="C41" s="326"/>
      <c r="D41" s="326"/>
      <c r="E41" s="326"/>
      <c r="F41" s="73">
        <f t="shared" si="0"/>
        <v>45876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25">
      <c r="A42" s="325"/>
      <c r="B42" s="326"/>
      <c r="C42" s="326"/>
      <c r="D42" s="326"/>
      <c r="E42" s="326"/>
      <c r="F42" s="73">
        <f t="shared" si="0"/>
        <v>45877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25">
      <c r="A43" s="325"/>
      <c r="B43" s="326"/>
      <c r="C43" s="326"/>
      <c r="D43" s="326"/>
      <c r="E43" s="326"/>
      <c r="F43" s="73">
        <f t="shared" si="0"/>
        <v>45878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5546875" defaultRowHeight="15" x14ac:dyDescent="0.2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 x14ac:dyDescent="0.2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2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75" thickBot="1" x14ac:dyDescent="0.3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2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45837</v>
      </c>
      <c r="F4" s="1">
        <f>VLOOKUP(Inv_Sy[[#This Row],[Date]],RD[#All],F$1,0)/F$2</f>
        <v>2.8087797619047619</v>
      </c>
      <c r="G4" s="1">
        <f>VLOOKUP(Inv_Sy[[#This Row],[Date]],RD[#All],G$1,0)/G$2</f>
        <v>2.7880859375</v>
      </c>
      <c r="H4" s="1">
        <f>VLOOKUP(Inv_Sy[[#This Row],[Date]],RD[#All],H$1,0)/H$2</f>
        <v>2.7976190476190474</v>
      </c>
      <c r="I4" s="1">
        <f>VLOOKUP(Inv_Sy[[#This Row],[Date]],RD[#All],I$1,0)/I$2</f>
        <v>2.774928774928775</v>
      </c>
      <c r="J4" s="1">
        <f>VLOOKUP(Inv_Sy[[#This Row],[Date]],RD[#All],J$1,0)/J$2</f>
        <v>2.8133012820512819</v>
      </c>
      <c r="K4" s="1">
        <f>VLOOKUP(Inv_Sy[[#This Row],[Date]],RD[#All],K$1,0)/K$2</f>
        <v>2.792022792022792</v>
      </c>
      <c r="L4" s="1">
        <f>VLOOKUP(Inv_Sy[[#This Row],[Date]],RD[#All],L$1,0)/L$2</f>
        <v>2.8772504091653026</v>
      </c>
      <c r="M4" s="1">
        <f>VLOOKUP(Inv_Sy[[#This Row],[Date]],RD[#All],M$1,0)/M$2</f>
        <v>2.9482886904761902</v>
      </c>
      <c r="N4" s="1">
        <f>VLOOKUP(Inv_Sy[[#This Row],[Date]],RD[#All],N$1,0)/N$2</f>
        <v>2.8387888707037643</v>
      </c>
      <c r="O4" s="1">
        <f>VLOOKUP(Inv_Sy[[#This Row],[Date]],RD[#All],O$1,0)/O$2</f>
        <v>2.9222470238095237</v>
      </c>
      <c r="P4" s="1">
        <f>AVERAGEIFS(Inv_Sy[[#This Row],[G1 Inv1]:[G5 Inv10]],Inv_Sy[[#This Row],[G1 Inv1]:[G5 Inv10]],"&lt;&gt;"&amp;0)</f>
        <v>2.8361312590181442</v>
      </c>
      <c r="Q4" s="1">
        <f>VLOOKUP(Inv_Sy[[#This Row],[Date]],RD[#All],Q$1,0)/Q$2</f>
        <v>3.0585289620057474</v>
      </c>
      <c r="R4" s="1">
        <f>VLOOKUP(Inv_Sy[[#This Row],[Date]],RD[#All],R$1,0)/R$2</f>
        <v>3.0029963650653309</v>
      </c>
      <c r="S4" s="1">
        <f>VLOOKUP(Inv_Sy[[#This Row],[Date]],RD[#All],S$1,0)/S$2</f>
        <v>3.1898279026980254</v>
      </c>
      <c r="T4" s="1">
        <f>VLOOKUP(Inv_Sy[[#This Row],[Date]],RD[#All],T$1,0)/T$2</f>
        <v>3.1087033733277267</v>
      </c>
      <c r="U4" s="1">
        <f>VLOOKUP(Inv_Sy[[#This Row],[Date]],RD[#All],U$1,0)/U$2</f>
        <v>3.0699090613835658</v>
      </c>
      <c r="V4" s="1">
        <f>VLOOKUP(Inv_Sy[[#This Row],[Date]],RD[#All],V$1,0)/V$2</f>
        <v>3.0672166949769473</v>
      </c>
      <c r="W4" s="1">
        <f>VLOOKUP(Inv_Sy[[#This Row],[Date]],RD[#All],W$1,0)/W$2</f>
        <v>3.0363372152187273</v>
      </c>
      <c r="X4" s="1">
        <f>VLOOKUP(Inv_Sy[[#This Row],[Date]],RD[#All],X$1,0)/X$2</f>
        <v>2.9809064735292443</v>
      </c>
      <c r="Y4" s="1">
        <f>VLOOKUP(Inv_Sy[[#This Row],[Date]],RD[#All],Y$1,0)/Y$2</f>
        <v>3.0729130847420318</v>
      </c>
      <c r="Z4" s="1">
        <f>VLOOKUP(Inv_Sy[[#This Row],[Date]],RD[#All],Z$1,0)/Z$2</f>
        <v>3.0412747193151222</v>
      </c>
      <c r="AA4" s="1">
        <f t="shared" ref="AA4:AA35" si="1">IFERROR(AVERAGEIF(Q4:Z4,"&gt;"&amp;0,Q4:Z4),"")</f>
        <v>3.0628613852262463</v>
      </c>
      <c r="AB4" s="1">
        <f>MAX(Inv_Sy[[#This Row],[G1 Inv1]:[IS1_Inv2]])</f>
        <v>3.1898279026980254</v>
      </c>
      <c r="AC4"/>
    </row>
    <row r="5" spans="1:29" ht="15" customHeight="1" x14ac:dyDescent="0.2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45838</v>
      </c>
      <c r="F5" s="1">
        <f>VLOOKUP(Inv_Sy[[#This Row],[Date]],RD[#All],F$1,0)/F$2</f>
        <v>2.4990699404761902</v>
      </c>
      <c r="G5" s="1">
        <f>VLOOKUP(Inv_Sy[[#This Row],[Date]],RD[#All],G$1,0)/G$2</f>
        <v>2.4910481770833335</v>
      </c>
      <c r="H5" s="1">
        <f>VLOOKUP(Inv_Sy[[#This Row],[Date]],RD[#All],H$1,0)/H$2</f>
        <v>2.4888392857142856</v>
      </c>
      <c r="I5" s="1">
        <f>VLOOKUP(Inv_Sy[[#This Row],[Date]],RD[#All],I$1,0)/I$2</f>
        <v>2.4908424908424909</v>
      </c>
      <c r="J5" s="1">
        <f>VLOOKUP(Inv_Sy[[#This Row],[Date]],RD[#All],J$1,0)/J$2</f>
        <v>2.4479166666666665</v>
      </c>
      <c r="K5" s="1">
        <f>VLOOKUP(Inv_Sy[[#This Row],[Date]],RD[#All],K$1,0)/K$2</f>
        <v>2.4919278252611585</v>
      </c>
      <c r="L5" s="1">
        <f>VLOOKUP(Inv_Sy[[#This Row],[Date]],RD[#All],L$1,0)/L$2</f>
        <v>2.5458265139116203</v>
      </c>
      <c r="M5" s="1">
        <f>VLOOKUP(Inv_Sy[[#This Row],[Date]],RD[#All],M$1,0)/M$2</f>
        <v>2.5967261904761902</v>
      </c>
      <c r="N5" s="1">
        <f>VLOOKUP(Inv_Sy[[#This Row],[Date]],RD[#All],N$1,0)/N$2</f>
        <v>2.5171849427168578</v>
      </c>
      <c r="O5" s="1">
        <f>VLOOKUP(Inv_Sy[[#This Row],[Date]],RD[#All],O$1,0)/O$2</f>
        <v>2.5762648809523809</v>
      </c>
      <c r="P5" s="1">
        <f>AVERAGEIFS(Inv_Sy[[#This Row],[G1 Inv1]:[G5 Inv10]],Inv_Sy[[#This Row],[G1 Inv1]:[G5 Inv10]],"&lt;&gt;"&amp;0)</f>
        <v>2.5145646914101172</v>
      </c>
      <c r="Q5" s="1">
        <f>VLOOKUP(Inv_Sy[[#This Row],[Date]],RD[#All],Q$1,0)/Q$2</f>
        <v>2.7581542287721188</v>
      </c>
      <c r="R5" s="1">
        <f>VLOOKUP(Inv_Sy[[#This Row],[Date]],RD[#All],R$1,0)/R$2</f>
        <v>2.693208239185251</v>
      </c>
      <c r="S5" s="1">
        <f>VLOOKUP(Inv_Sy[[#This Row],[Date]],RD[#All],S$1,0)/S$2</f>
        <v>2.8401725593645377</v>
      </c>
      <c r="T5" s="1">
        <f>VLOOKUP(Inv_Sy[[#This Row],[Date]],RD[#All],T$1,0)/T$2</f>
        <v>2.7636547717706805</v>
      </c>
      <c r="U5" s="1">
        <f>VLOOKUP(Inv_Sy[[#This Row],[Date]],RD[#All],U$1,0)/U$2</f>
        <v>2.7387138681390057</v>
      </c>
      <c r="V5" s="1">
        <f>VLOOKUP(Inv_Sy[[#This Row],[Date]],RD[#All],V$1,0)/V$2</f>
        <v>2.7524286873791937</v>
      </c>
      <c r="W5" s="1">
        <f>VLOOKUP(Inv_Sy[[#This Row],[Date]],RD[#All],W$1,0)/W$2</f>
        <v>2.7429366917544198</v>
      </c>
      <c r="X5" s="1">
        <f>VLOOKUP(Inv_Sy[[#This Row],[Date]],RD[#All],X$1,0)/X$2</f>
        <v>2.7037607966918693</v>
      </c>
      <c r="Y5" s="1">
        <f>VLOOKUP(Inv_Sy[[#This Row],[Date]],RD[#All],Y$1,0)/Y$2</f>
        <v>2.7271914501464858</v>
      </c>
      <c r="Z5" s="1">
        <f>VLOOKUP(Inv_Sy[[#This Row],[Date]],RD[#All],Z$1,0)/Z$2</f>
        <v>2.7023223082336378</v>
      </c>
      <c r="AA5" s="1">
        <f t="shared" si="1"/>
        <v>2.7422543601437197</v>
      </c>
      <c r="AB5" s="1">
        <f>MAX(Inv_Sy[[#This Row],[G1 Inv1]:[IS1_Inv2]])</f>
        <v>2.8401725593645377</v>
      </c>
      <c r="AC5"/>
    </row>
    <row r="6" spans="1:29" ht="15" customHeight="1" x14ac:dyDescent="0.2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45839</v>
      </c>
      <c r="F6" s="1">
        <f>VLOOKUP(Inv_Sy[[#This Row],[Date]],RD[#All],F$1,0)/F$2</f>
        <v>1.7745535714285714</v>
      </c>
      <c r="G6" s="1">
        <f>VLOOKUP(Inv_Sy[[#This Row],[Date]],RD[#All],G$1,0)/G$2</f>
        <v>1.77734375</v>
      </c>
      <c r="H6" s="1">
        <f>VLOOKUP(Inv_Sy[[#This Row],[Date]],RD[#All],H$1,0)/H$2</f>
        <v>1.77734375</v>
      </c>
      <c r="I6" s="1">
        <f>VLOOKUP(Inv_Sy[[#This Row],[Date]],RD[#All],I$1,0)/I$2</f>
        <v>1.7826617826617828</v>
      </c>
      <c r="J6" s="1">
        <f>VLOOKUP(Inv_Sy[[#This Row],[Date]],RD[#All],J$1,0)/J$2</f>
        <v>1.78125</v>
      </c>
      <c r="K6" s="1">
        <f>VLOOKUP(Inv_Sy[[#This Row],[Date]],RD[#All],K$1,0)/K$2</f>
        <v>1.7825261158594492</v>
      </c>
      <c r="L6" s="1">
        <f>VLOOKUP(Inv_Sy[[#This Row],[Date]],RD[#All],L$1,0)/L$2</f>
        <v>1.8322422258592472</v>
      </c>
      <c r="M6" s="1">
        <f>VLOOKUP(Inv_Sy[[#This Row],[Date]],RD[#All],M$1,0)/M$2</f>
        <v>1.8656994047619047</v>
      </c>
      <c r="N6" s="1">
        <f>VLOOKUP(Inv_Sy[[#This Row],[Date]],RD[#All],N$1,0)/N$2</f>
        <v>1.7995090016366613</v>
      </c>
      <c r="O6" s="1">
        <f>VLOOKUP(Inv_Sy[[#This Row],[Date]],RD[#All],O$1,0)/O$2</f>
        <v>1.8405877976190474</v>
      </c>
      <c r="P6" s="1">
        <f>AVERAGEIFS(Inv_Sy[[#This Row],[G1 Inv1]:[G5 Inv10]],Inv_Sy[[#This Row],[G1 Inv1]:[G5 Inv10]],"&lt;&gt;"&amp;0)</f>
        <v>1.8013717399826663</v>
      </c>
      <c r="Q6" s="1">
        <f>VLOOKUP(Inv_Sy[[#This Row],[Date]],RD[#All],Q$1,0)/Q$2</f>
        <v>1.9429834142734714</v>
      </c>
      <c r="R6" s="1">
        <f>VLOOKUP(Inv_Sy[[#This Row],[Date]],RD[#All],R$1,0)/R$2</f>
        <v>1.9003995153420445</v>
      </c>
      <c r="S6" s="1">
        <f>VLOOKUP(Inv_Sy[[#This Row],[Date]],RD[#All],S$1,0)/S$2</f>
        <v>2.0110642981059637</v>
      </c>
      <c r="T6" s="1">
        <f>VLOOKUP(Inv_Sy[[#This Row],[Date]],RD[#All],T$1,0)/T$2</f>
        <v>1.9584325028270957</v>
      </c>
      <c r="U6" s="1">
        <f>VLOOKUP(Inv_Sy[[#This Row],[Date]],RD[#All],U$1,0)/U$2</f>
        <v>1.9396719714192918</v>
      </c>
      <c r="V6" s="1">
        <f>VLOOKUP(Inv_Sy[[#This Row],[Date]],RD[#All],V$1,0)/V$2</f>
        <v>1.9431172547674234</v>
      </c>
      <c r="W6" s="1">
        <f>VLOOKUP(Inv_Sy[[#This Row],[Date]],RD[#All],W$1,0)/W$2</f>
        <v>1.9355967940864001</v>
      </c>
      <c r="X6" s="1">
        <f>VLOOKUP(Inv_Sy[[#This Row],[Date]],RD[#All],X$1,0)/X$2</f>
        <v>1.9051114536690403</v>
      </c>
      <c r="Y6" s="1">
        <f>VLOOKUP(Inv_Sy[[#This Row],[Date]],RD[#All],Y$1,0)/Y$2</f>
        <v>1.9663562714055809</v>
      </c>
      <c r="Z6" s="1">
        <f>VLOOKUP(Inv_Sy[[#This Row],[Date]],RD[#All],Z$1,0)/Z$2</f>
        <v>1.9515911394611622</v>
      </c>
      <c r="AA6" s="1">
        <f t="shared" si="1"/>
        <v>1.9454324615357474</v>
      </c>
      <c r="AB6" s="1">
        <f>MAX(Inv_Sy[[#This Row],[G1 Inv1]:[IS1_Inv2]])</f>
        <v>2.0110642981059637</v>
      </c>
      <c r="AC6"/>
    </row>
    <row r="7" spans="1:29" ht="15" customHeight="1" x14ac:dyDescent="0.2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45840</v>
      </c>
      <c r="F7" s="1">
        <f>VLOOKUP(Inv_Sy[[#This Row],[Date]],RD[#All],F$1,0)/F$2</f>
        <v>2.28515625</v>
      </c>
      <c r="G7" s="1">
        <f>VLOOKUP(Inv_Sy[[#This Row],[Date]],RD[#All],G$1,0)/G$2</f>
        <v>2.277018229166667</v>
      </c>
      <c r="H7" s="1">
        <f>VLOOKUP(Inv_Sy[[#This Row],[Date]],RD[#All],H$1,0)/H$2</f>
        <v>2.2628348214285712</v>
      </c>
      <c r="I7" s="1">
        <f>VLOOKUP(Inv_Sy[[#This Row],[Date]],RD[#All],I$1,0)/I$2</f>
        <v>2.2759462759462759</v>
      </c>
      <c r="J7" s="1">
        <f>VLOOKUP(Inv_Sy[[#This Row],[Date]],RD[#All],J$1,0)/J$2</f>
        <v>2.2956730769230771</v>
      </c>
      <c r="K7" s="1">
        <f>VLOOKUP(Inv_Sy[[#This Row],[Date]],RD[#All],K$1,0)/K$2</f>
        <v>2.2830009496676165</v>
      </c>
      <c r="L7" s="1">
        <f>VLOOKUP(Inv_Sy[[#This Row],[Date]],RD[#All],L$1,0)/L$2</f>
        <v>2.3404255319148937</v>
      </c>
      <c r="M7" s="1">
        <f>VLOOKUP(Inv_Sy[[#This Row],[Date]],RD[#All],M$1,0)/M$2</f>
        <v>2.40234375</v>
      </c>
      <c r="N7" s="1">
        <f>VLOOKUP(Inv_Sy[[#This Row],[Date]],RD[#All],N$1,0)/N$2</f>
        <v>2.3445171849427169</v>
      </c>
      <c r="O7" s="1">
        <f>VLOOKUP(Inv_Sy[[#This Row],[Date]],RD[#All],O$1,0)/O$2</f>
        <v>2.421875</v>
      </c>
      <c r="P7" s="1">
        <f>AVERAGEIFS(Inv_Sy[[#This Row],[G1 Inv1]:[G5 Inv10]],Inv_Sy[[#This Row],[G1 Inv1]:[G5 Inv10]],"&lt;&gt;"&amp;0)</f>
        <v>2.318879106998982</v>
      </c>
      <c r="Q7" s="1">
        <f>VLOOKUP(Inv_Sy[[#This Row],[Date]],RD[#All],Q$1,0)/Q$2</f>
        <v>2.6171671511872159</v>
      </c>
      <c r="R7" s="1">
        <f>VLOOKUP(Inv_Sy[[#This Row],[Date]],RD[#All],R$1,0)/R$2</f>
        <v>2.5647575072862434</v>
      </c>
      <c r="S7" s="1">
        <f>VLOOKUP(Inv_Sy[[#This Row],[Date]],RD[#All],S$1,0)/S$2</f>
        <v>2.7151636331559295</v>
      </c>
      <c r="T7" s="1">
        <f>VLOOKUP(Inv_Sy[[#This Row],[Date]],RD[#All],T$1,0)/T$2</f>
        <v>2.6457536405240232</v>
      </c>
      <c r="U7" s="1">
        <f>VLOOKUP(Inv_Sy[[#This Row],[Date]],RD[#All],U$1,0)/U$2</f>
        <v>2.6194381292627473</v>
      </c>
      <c r="V7" s="1">
        <f>VLOOKUP(Inv_Sy[[#This Row],[Date]],RD[#All],V$1,0)/V$2</f>
        <v>2.6159536101883543</v>
      </c>
      <c r="W7" s="1">
        <f>VLOOKUP(Inv_Sy[[#This Row],[Date]],RD[#All],W$1,0)/W$2</f>
        <v>2.6034818924496581</v>
      </c>
      <c r="X7" s="1">
        <f>VLOOKUP(Inv_Sy[[#This Row],[Date]],RD[#All],X$1,0)/X$2</f>
        <v>2.5585814839283239</v>
      </c>
      <c r="Y7" s="1">
        <f>VLOOKUP(Inv_Sy[[#This Row],[Date]],RD[#All],Y$1,0)/Y$2</f>
        <v>2.5465936756392438</v>
      </c>
      <c r="Z7" s="1">
        <f>VLOOKUP(Inv_Sy[[#This Row],[Date]],RD[#All],Z$1,0)/Z$2</f>
        <v>2.5016624808733994</v>
      </c>
      <c r="AA7" s="1">
        <f t="shared" si="1"/>
        <v>2.598855320449514</v>
      </c>
      <c r="AB7" s="1">
        <f>MAX(Inv_Sy[[#This Row],[G1 Inv1]:[IS1_Inv2]])</f>
        <v>2.7151636331559295</v>
      </c>
      <c r="AC7"/>
    </row>
    <row r="8" spans="1:29" ht="15" customHeight="1" x14ac:dyDescent="0.2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45841</v>
      </c>
      <c r="F8" s="1">
        <f>VLOOKUP(Inv_Sy[[#This Row],[Date]],RD[#All],F$1,0)/F$2</f>
        <v>2.6990327380952381</v>
      </c>
      <c r="G8" s="1">
        <f>VLOOKUP(Inv_Sy[[#This Row],[Date]],RD[#All],G$1,0)/G$2</f>
        <v>2.6888020833333335</v>
      </c>
      <c r="H8" s="1">
        <f>VLOOKUP(Inv_Sy[[#This Row],[Date]],RD[#All],H$1,0)/H$2</f>
        <v>2.6990327380952381</v>
      </c>
      <c r="I8" s="1">
        <f>VLOOKUP(Inv_Sy[[#This Row],[Date]],RD[#All],I$1,0)/I$2</f>
        <v>2.6845746845746845</v>
      </c>
      <c r="J8" s="1">
        <f>VLOOKUP(Inv_Sy[[#This Row],[Date]],RD[#All],J$1,0)/J$2</f>
        <v>2.6802884615384617</v>
      </c>
      <c r="K8" s="1">
        <f>VLOOKUP(Inv_Sy[[#This Row],[Date]],RD[#All],K$1,0)/K$2</f>
        <v>2.6970560303893638</v>
      </c>
      <c r="L8" s="1">
        <f>VLOOKUP(Inv_Sy[[#This Row],[Date]],RD[#All],L$1,0)/L$2</f>
        <v>2.7675941080196398</v>
      </c>
      <c r="M8" s="1">
        <f>VLOOKUP(Inv_Sy[[#This Row],[Date]],RD[#All],M$1,0)/M$2</f>
        <v>2.8199404761904763</v>
      </c>
      <c r="N8" s="1">
        <f>VLOOKUP(Inv_Sy[[#This Row],[Date]],RD[#All],N$1,0)/N$2</f>
        <v>2.7242225859247138</v>
      </c>
      <c r="O8" s="1">
        <f>VLOOKUP(Inv_Sy[[#This Row],[Date]],RD[#All],O$1,0)/O$2</f>
        <v>2.7790178571428572</v>
      </c>
      <c r="P8" s="1">
        <f>AVERAGEIFS(Inv_Sy[[#This Row],[G1 Inv1]:[G5 Inv10]],Inv_Sy[[#This Row],[G1 Inv1]:[G5 Inv10]],"&lt;&gt;"&amp;0)</f>
        <v>2.7239561763304008</v>
      </c>
      <c r="Q8" s="1">
        <f>VLOOKUP(Inv_Sy[[#This Row],[Date]],RD[#All],Q$1,0)/Q$2</f>
        <v>3.0086205447915448</v>
      </c>
      <c r="R8" s="1">
        <f>VLOOKUP(Inv_Sy[[#This Row],[Date]],RD[#All],R$1,0)/R$2</f>
        <v>2.9203916560238401</v>
      </c>
      <c r="S8" s="1">
        <f>VLOOKUP(Inv_Sy[[#This Row],[Date]],RD[#All],S$1,0)/S$2</f>
        <v>3.0745642960056787</v>
      </c>
      <c r="T8" s="1">
        <f>VLOOKUP(Inv_Sy[[#This Row],[Date]],RD[#All],T$1,0)/T$2</f>
        <v>2.9883527725953352</v>
      </c>
      <c r="U8" s="1">
        <f>VLOOKUP(Inv_Sy[[#This Row],[Date]],RD[#All],U$1,0)/U$2</f>
        <v>2.9657356284507954</v>
      </c>
      <c r="V8" s="1">
        <f>VLOOKUP(Inv_Sy[[#This Row],[Date]],RD[#All],V$1,0)/V$2</f>
        <v>2.9884778552242928</v>
      </c>
      <c r="W8" s="1">
        <f>VLOOKUP(Inv_Sy[[#This Row],[Date]],RD[#All],W$1,0)/W$2</f>
        <v>2.9764196832348953</v>
      </c>
      <c r="X8" s="1">
        <f>VLOOKUP(Inv_Sy[[#This Row],[Date]],RD[#All],X$1,0)/X$2</f>
        <v>2.9522784180348594</v>
      </c>
      <c r="Y8" s="1">
        <f>VLOOKUP(Inv_Sy[[#This Row],[Date]],RD[#All],Y$1,0)/Y$2</f>
        <v>2.9608819443489258</v>
      </c>
      <c r="Z8" s="1">
        <f>VLOOKUP(Inv_Sy[[#This Row],[Date]],RD[#All],Z$1,0)/Z$2</f>
        <v>2.9783909767640044</v>
      </c>
      <c r="AA8" s="1">
        <f t="shared" si="1"/>
        <v>2.9814113775474169</v>
      </c>
      <c r="AB8" s="1">
        <f>MAX(Inv_Sy[[#This Row],[G1 Inv1]:[IS1_Inv2]])</f>
        <v>3.0745642960056787</v>
      </c>
      <c r="AC8"/>
    </row>
    <row r="9" spans="1:29" ht="15" customHeight="1" x14ac:dyDescent="0.2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45842</v>
      </c>
      <c r="F9" s="1">
        <f>VLOOKUP(Inv_Sy[[#This Row],[Date]],RD[#All],F$1,0)/F$2</f>
        <v>3.216145833333333</v>
      </c>
      <c r="G9" s="1">
        <f>VLOOKUP(Inv_Sy[[#This Row],[Date]],RD[#All],G$1,0)/G$2</f>
        <v>3.212076822916667</v>
      </c>
      <c r="H9" s="1">
        <f>VLOOKUP(Inv_Sy[[#This Row],[Date]],RD[#All],H$1,0)/H$2</f>
        <v>3.2021949404761902</v>
      </c>
      <c r="I9" s="1">
        <f>VLOOKUP(Inv_Sy[[#This Row],[Date]],RD[#All],I$1,0)/I$2</f>
        <v>3.1949531949531949</v>
      </c>
      <c r="J9" s="1">
        <f>VLOOKUP(Inv_Sy[[#This Row],[Date]],RD[#All],J$1,0)/J$2</f>
        <v>3.1907051282051282</v>
      </c>
      <c r="K9" s="1">
        <f>VLOOKUP(Inv_Sy[[#This Row],[Date]],RD[#All],K$1,0)/K$2</f>
        <v>3.2222222222222223</v>
      </c>
      <c r="L9" s="1">
        <f>VLOOKUP(Inv_Sy[[#This Row],[Date]],RD[#All],L$1,0)/L$2</f>
        <v>3.2839607201309331</v>
      </c>
      <c r="M9" s="1">
        <f>VLOOKUP(Inv_Sy[[#This Row],[Date]],RD[#All],M$1,0)/M$2</f>
        <v>3.3621651785714284</v>
      </c>
      <c r="N9" s="1">
        <f>VLOOKUP(Inv_Sy[[#This Row],[Date]],RD[#All],N$1,0)/N$2</f>
        <v>3.2725040916530279</v>
      </c>
      <c r="O9" s="1">
        <f>VLOOKUP(Inv_Sy[[#This Row],[Date]],RD[#All],O$1,0)/O$2</f>
        <v>3.3761160714285712</v>
      </c>
      <c r="P9" s="1">
        <f>AVERAGEIFS(Inv_Sy[[#This Row],[G1 Inv1]:[G5 Inv10]],Inv_Sy[[#This Row],[G1 Inv1]:[G5 Inv10]],"&lt;&gt;"&amp;0)</f>
        <v>3.2533044203890698</v>
      </c>
      <c r="Q9" s="1">
        <f>VLOOKUP(Inv_Sy[[#This Row],[Date]],RD[#All],Q$1,0)/Q$2</f>
        <v>3.7648927053050802</v>
      </c>
      <c r="R9" s="1">
        <f>VLOOKUP(Inv_Sy[[#This Row],[Date]],RD[#All],R$1,0)/R$2</f>
        <v>3.6615417362543807</v>
      </c>
      <c r="S9" s="1">
        <f>VLOOKUP(Inv_Sy[[#This Row],[Date]],RD[#All],S$1,0)/S$2</f>
        <v>3.8440244809147162</v>
      </c>
      <c r="T9" s="1">
        <f>VLOOKUP(Inv_Sy[[#This Row],[Date]],RD[#All],T$1,0)/T$2</f>
        <v>3.7241734061097929</v>
      </c>
      <c r="U9" s="1">
        <f>VLOOKUP(Inv_Sy[[#This Row],[Date]],RD[#All],U$1,0)/U$2</f>
        <v>3.7153296524845727</v>
      </c>
      <c r="V9" s="1">
        <f>VLOOKUP(Inv_Sy[[#This Row],[Date]],RD[#All],V$1,0)/V$2</f>
        <v>3.7436511057744606</v>
      </c>
      <c r="W9" s="1">
        <f>VLOOKUP(Inv_Sy[[#This Row],[Date]],RD[#All],W$1,0)/W$2</f>
        <v>3.7275054849778768</v>
      </c>
      <c r="X9" s="1">
        <f>VLOOKUP(Inv_Sy[[#This Row],[Date]],RD[#All],X$1,0)/X$2</f>
        <v>3.6837211578458002</v>
      </c>
      <c r="Y9" s="1">
        <f>VLOOKUP(Inv_Sy[[#This Row],[Date]],RD[#All],Y$1,0)/Y$2</f>
        <v>3.5806637965420949</v>
      </c>
      <c r="Z9" s="1">
        <f>VLOOKUP(Inv_Sy[[#This Row],[Date]],RD[#All],Z$1,0)/Z$2</f>
        <v>3.5044451187624679</v>
      </c>
      <c r="AA9" s="1">
        <f t="shared" si="1"/>
        <v>3.6949948644971244</v>
      </c>
      <c r="AB9" s="1">
        <f>MAX(Inv_Sy[[#This Row],[G1 Inv1]:[IS1_Inv2]])</f>
        <v>3.8440244809147162</v>
      </c>
      <c r="AC9"/>
    </row>
    <row r="10" spans="1:29" ht="15" customHeight="1" x14ac:dyDescent="0.2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45843</v>
      </c>
      <c r="F10" s="1">
        <f>VLOOKUP(Inv_Sy[[#This Row],[Date]],RD[#All],F$1,0)/F$2</f>
        <v>3.1110491071428572</v>
      </c>
      <c r="G10" s="1">
        <f>VLOOKUP(Inv_Sy[[#This Row],[Date]],RD[#All],G$1,0)/G$2</f>
        <v>3.109537760416667</v>
      </c>
      <c r="H10" s="1">
        <f>VLOOKUP(Inv_Sy[[#This Row],[Date]],RD[#All],H$1,0)/H$2</f>
        <v>3.1129092261904763</v>
      </c>
      <c r="I10" s="1">
        <f>VLOOKUP(Inv_Sy[[#This Row],[Date]],RD[#All],I$1,0)/I$2</f>
        <v>3.0866910866910868</v>
      </c>
      <c r="J10" s="1">
        <f>VLOOKUP(Inv_Sy[[#This Row],[Date]],RD[#All],J$1,0)/J$2</f>
        <v>3.1073717948717947</v>
      </c>
      <c r="K10" s="1">
        <f>VLOOKUP(Inv_Sy[[#This Row],[Date]],RD[#All],K$1,0)/K$2</f>
        <v>3.0978157644824313</v>
      </c>
      <c r="L10" s="1">
        <f>VLOOKUP(Inv_Sy[[#This Row],[Date]],RD[#All],L$1,0)/L$2</f>
        <v>3.1890343698854338</v>
      </c>
      <c r="M10" s="1">
        <f>VLOOKUP(Inv_Sy[[#This Row],[Date]],RD[#All],M$1,0)/M$2</f>
        <v>3.2570684523809521</v>
      </c>
      <c r="N10" s="1">
        <f>VLOOKUP(Inv_Sy[[#This Row],[Date]],RD[#All],N$1,0)/N$2</f>
        <v>3.1440261865793779</v>
      </c>
      <c r="O10" s="1">
        <f>VLOOKUP(Inv_Sy[[#This Row],[Date]],RD[#All],O$1,0)/O$2</f>
        <v>3.2263764880952381</v>
      </c>
      <c r="P10" s="1">
        <f>AVERAGEIFS(Inv_Sy[[#This Row],[G1 Inv1]:[G5 Inv10]],Inv_Sy[[#This Row],[G1 Inv1]:[G5 Inv10]],"&lt;&gt;"&amp;0)</f>
        <v>3.1441880236736313</v>
      </c>
      <c r="Q10" s="1">
        <f>VLOOKUP(Inv_Sy[[#This Row],[Date]],RD[#All],Q$1,0)/Q$2</f>
        <v>3.4263724814733911</v>
      </c>
      <c r="R10" s="1">
        <f>VLOOKUP(Inv_Sy[[#This Row],[Date]],RD[#All],R$1,0)/R$2</f>
        <v>3.3601041359662056</v>
      </c>
      <c r="S10" s="1">
        <f>VLOOKUP(Inv_Sy[[#This Row],[Date]],RD[#All],S$1,0)/S$2</f>
        <v>3.5581337713126358</v>
      </c>
      <c r="T10" s="1">
        <f>VLOOKUP(Inv_Sy[[#This Row],[Date]],RD[#All],T$1,0)/T$2</f>
        <v>3.4674690040048826</v>
      </c>
      <c r="U10" s="1">
        <f>VLOOKUP(Inv_Sy[[#This Row],[Date]],RD[#All],U$1,0)/U$2</f>
        <v>3.4253004222150047</v>
      </c>
      <c r="V10" s="1">
        <f>VLOOKUP(Inv_Sy[[#This Row],[Date]],RD[#All],V$1,0)/V$2</f>
        <v>3.4277753139930884</v>
      </c>
      <c r="W10" s="1">
        <f>VLOOKUP(Inv_Sy[[#This Row],[Date]],RD[#All],W$1,0)/W$2</f>
        <v>3.3977148299962145</v>
      </c>
      <c r="X10" s="1">
        <f>VLOOKUP(Inv_Sy[[#This Row],[Date]],RD[#All],X$1,0)/X$2</f>
        <v>3.3417341587348193</v>
      </c>
      <c r="Y10" s="1">
        <f>VLOOKUP(Inv_Sy[[#This Row],[Date]],RD[#All],Y$1,0)/Y$2</f>
        <v>3.4558408868960004</v>
      </c>
      <c r="Z10" s="1">
        <f>VLOOKUP(Inv_Sy[[#This Row],[Date]],RD[#All],Z$1,0)/Z$2</f>
        <v>3.3447178301880696</v>
      </c>
      <c r="AA10" s="1">
        <f t="shared" si="1"/>
        <v>3.4205162834780309</v>
      </c>
      <c r="AB10" s="1">
        <f>MAX(Inv_Sy[[#This Row],[G1 Inv1]:[IS1_Inv2]])</f>
        <v>3.5581337713126358</v>
      </c>
      <c r="AC10"/>
    </row>
    <row r="11" spans="1:29" ht="15" customHeight="1" x14ac:dyDescent="0.2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45844</v>
      </c>
      <c r="F11" s="1">
        <f>VLOOKUP(Inv_Sy[[#This Row],[Date]],RD[#All],F$1,0)/F$2</f>
        <v>2.6050967261904763</v>
      </c>
      <c r="G11" s="1">
        <f>VLOOKUP(Inv_Sy[[#This Row],[Date]],RD[#All],G$1,0)/G$2</f>
        <v>2.6082356770833335</v>
      </c>
      <c r="H11" s="1">
        <f>VLOOKUP(Inv_Sy[[#This Row],[Date]],RD[#All],H$1,0)/H$2</f>
        <v>2.6190476190476191</v>
      </c>
      <c r="I11" s="1">
        <f>VLOOKUP(Inv_Sy[[#This Row],[Date]],RD[#All],I$1,0)/I$2</f>
        <v>2.6056166056166057</v>
      </c>
      <c r="J11" s="1">
        <f>VLOOKUP(Inv_Sy[[#This Row],[Date]],RD[#All],J$1,0)/J$2</f>
        <v>2.6065705128205128</v>
      </c>
      <c r="K11" s="1">
        <f>VLOOKUP(Inv_Sy[[#This Row],[Date]],RD[#All],K$1,0)/K$2</f>
        <v>2.6049382716049383</v>
      </c>
      <c r="L11" s="1">
        <f>VLOOKUP(Inv_Sy[[#This Row],[Date]],RD[#All],L$1,0)/L$2</f>
        <v>2.6456628477905073</v>
      </c>
      <c r="M11" s="1">
        <f>VLOOKUP(Inv_Sy[[#This Row],[Date]],RD[#All],M$1,0)/M$2</f>
        <v>2.7036830357142856</v>
      </c>
      <c r="N11" s="1">
        <f>VLOOKUP(Inv_Sy[[#This Row],[Date]],RD[#All],N$1,0)/N$2</f>
        <v>2.6276595744680851</v>
      </c>
      <c r="O11" s="1">
        <f>VLOOKUP(Inv_Sy[[#This Row],[Date]],RD[#All],O$1,0)/O$2</f>
        <v>2.6943824404761902</v>
      </c>
      <c r="P11" s="1">
        <f>AVERAGEIFS(Inv_Sy[[#This Row],[G1 Inv1]:[G5 Inv10]],Inv_Sy[[#This Row],[G1 Inv1]:[G5 Inv10]],"&lt;&gt;"&amp;0)</f>
        <v>2.632089331081255</v>
      </c>
      <c r="Q11" s="1">
        <f>VLOOKUP(Inv_Sy[[#This Row],[Date]],RD[#All],Q$1,0)/Q$2</f>
        <v>2.8658690282142203</v>
      </c>
      <c r="R11" s="1">
        <f>VLOOKUP(Inv_Sy[[#This Row],[Date]],RD[#All],R$1,0)/R$2</f>
        <v>2.8024200150636935</v>
      </c>
      <c r="S11" s="1">
        <f>VLOOKUP(Inv_Sy[[#This Row],[Date]],RD[#All],S$1,0)/S$2</f>
        <v>2.9661056106996884</v>
      </c>
      <c r="T11" s="1">
        <f>VLOOKUP(Inv_Sy[[#This Row],[Date]],RD[#All],T$1,0)/T$2</f>
        <v>2.8890676094402554</v>
      </c>
      <c r="U11" s="1">
        <f>VLOOKUP(Inv_Sy[[#This Row],[Date]],RD[#All],U$1,0)/U$2</f>
        <v>2.8544982137057482</v>
      </c>
      <c r="V11" s="1">
        <f>VLOOKUP(Inv_Sy[[#This Row],[Date]],RD[#All],V$1,0)/V$2</f>
        <v>2.8600356458509402</v>
      </c>
      <c r="W11" s="1">
        <f>VLOOKUP(Inv_Sy[[#This Row],[Date]],RD[#All],W$1,0)/W$2</f>
        <v>2.8398956327771696</v>
      </c>
      <c r="X11" s="1">
        <f>VLOOKUP(Inv_Sy[[#This Row],[Date]],RD[#All],X$1,0)/X$2</f>
        <v>2.8015529292781003</v>
      </c>
      <c r="Y11" s="1">
        <f>VLOOKUP(Inv_Sy[[#This Row],[Date]],RD[#All],Y$1,0)/Y$2</f>
        <v>2.8518768138866339</v>
      </c>
      <c r="Z11" s="1">
        <f>VLOOKUP(Inv_Sy[[#This Row],[Date]],RD[#All],Z$1,0)/Z$2</f>
        <v>2.7242089496348991</v>
      </c>
      <c r="AA11" s="1">
        <f t="shared" si="1"/>
        <v>2.8455530448551345</v>
      </c>
      <c r="AB11" s="1">
        <f>MAX(Inv_Sy[[#This Row],[G1 Inv1]:[IS1_Inv2]])</f>
        <v>2.9661056106996884</v>
      </c>
      <c r="AC11"/>
    </row>
    <row r="12" spans="1:29" ht="15" customHeight="1" x14ac:dyDescent="0.2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45845</v>
      </c>
      <c r="F12" s="1">
        <f>VLOOKUP(Inv_Sy[[#This Row],[Date]],RD[#All],F$1,0)/F$2</f>
        <v>1.4322916666666665</v>
      </c>
      <c r="G12" s="1">
        <f>VLOOKUP(Inv_Sy[[#This Row],[Date]],RD[#All],G$1,0)/G$2</f>
        <v>1.4314778645833335</v>
      </c>
      <c r="H12" s="1">
        <f>VLOOKUP(Inv_Sy[[#This Row],[Date]],RD[#All],H$1,0)/H$2</f>
        <v>1.4322916666666665</v>
      </c>
      <c r="I12" s="1">
        <f>VLOOKUP(Inv_Sy[[#This Row],[Date]],RD[#All],I$1,0)/I$2</f>
        <v>1.4318274318274318</v>
      </c>
      <c r="J12" s="1">
        <f>VLOOKUP(Inv_Sy[[#This Row],[Date]],RD[#All],J$1,0)/J$2</f>
        <v>1.4326923076923077</v>
      </c>
      <c r="K12" s="1">
        <f>VLOOKUP(Inv_Sy[[#This Row],[Date]],RD[#All],K$1,0)/K$2</f>
        <v>1.4529914529914529</v>
      </c>
      <c r="L12" s="1">
        <f>VLOOKUP(Inv_Sy[[#This Row],[Date]],RD[#All],L$1,0)/L$2</f>
        <v>1.4599018003273323</v>
      </c>
      <c r="M12" s="1">
        <f>VLOOKUP(Inv_Sy[[#This Row],[Date]],RD[#All],M$1,0)/M$2</f>
        <v>1.4834449404761905</v>
      </c>
      <c r="N12" s="1">
        <f>VLOOKUP(Inv_Sy[[#This Row],[Date]],RD[#All],N$1,0)/N$2</f>
        <v>1.4500818330605565</v>
      </c>
      <c r="O12" s="1">
        <f>VLOOKUP(Inv_Sy[[#This Row],[Date]],RD[#All],O$1,0)/O$2</f>
        <v>1.470424107142857</v>
      </c>
      <c r="P12" s="1">
        <f>AVERAGEIFS(Inv_Sy[[#This Row],[G1 Inv1]:[G5 Inv10]],Inv_Sy[[#This Row],[G1 Inv1]:[G5 Inv10]],"&lt;&gt;"&amp;0)</f>
        <v>1.4477425071434795</v>
      </c>
      <c r="Q12" s="1">
        <f>VLOOKUP(Inv_Sy[[#This Row],[Date]],RD[#All],Q$1,0)/Q$2</f>
        <v>1.5122082374094676</v>
      </c>
      <c r="R12" s="1">
        <f>VLOOKUP(Inv_Sy[[#This Row],[Date]],RD[#All],R$1,0)/R$2</f>
        <v>1.4758325965222521</v>
      </c>
      <c r="S12" s="1">
        <f>VLOOKUP(Inv_Sy[[#This Row],[Date]],RD[#All],S$1,0)/S$2</f>
        <v>1.5581589747251778</v>
      </c>
      <c r="T12" s="1">
        <f>VLOOKUP(Inv_Sy[[#This Row],[Date]],RD[#All],T$1,0)/T$2</f>
        <v>1.5155684198064101</v>
      </c>
      <c r="U12" s="1">
        <f>VLOOKUP(Inv_Sy[[#This Row],[Date]],RD[#All],U$1,0)/U$2</f>
        <v>1.5043845404352061</v>
      </c>
      <c r="V12" s="1">
        <f>VLOOKUP(Inv_Sy[[#This Row],[Date]],RD[#All],V$1,0)/V$2</f>
        <v>1.5081709327330999</v>
      </c>
      <c r="W12" s="1">
        <f>VLOOKUP(Inv_Sy[[#This Row],[Date]],RD[#All],W$1,0)/W$2</f>
        <v>1.5069747752074929</v>
      </c>
      <c r="X12" s="1">
        <f>VLOOKUP(Inv_Sy[[#This Row],[Date]],RD[#All],X$1,0)/X$2</f>
        <v>1.4852333064180676</v>
      </c>
      <c r="Y12" s="1">
        <f>VLOOKUP(Inv_Sy[[#This Row],[Date]],RD[#All],Y$1,0)/Y$2</f>
        <v>1.5173376614445069</v>
      </c>
      <c r="Z12" s="1">
        <f>VLOOKUP(Inv_Sy[[#This Row],[Date]],RD[#All],Z$1,0)/Z$2</f>
        <v>1.4562686827340867</v>
      </c>
      <c r="AA12" s="1">
        <f t="shared" si="1"/>
        <v>1.5040138127435767</v>
      </c>
      <c r="AB12" s="1">
        <f>MAX(Inv_Sy[[#This Row],[G1 Inv1]:[IS1_Inv2]])</f>
        <v>1.5581589747251778</v>
      </c>
      <c r="AC12"/>
    </row>
    <row r="13" spans="1:29" ht="15" customHeight="1" x14ac:dyDescent="0.2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45846</v>
      </c>
      <c r="F13" s="1">
        <f>VLOOKUP(Inv_Sy[[#This Row],[Date]],RD[#All],F$1,0)/F$2</f>
        <v>2.0070684523809521</v>
      </c>
      <c r="G13" s="1">
        <f>VLOOKUP(Inv_Sy[[#This Row],[Date]],RD[#All],G$1,0)/G$2</f>
        <v>1.9661458333333335</v>
      </c>
      <c r="H13" s="1">
        <f>VLOOKUP(Inv_Sy[[#This Row],[Date]],RD[#All],H$1,0)/H$2</f>
        <v>1.9996279761904761</v>
      </c>
      <c r="I13" s="1">
        <f>VLOOKUP(Inv_Sy[[#This Row],[Date]],RD[#All],I$1,0)/I$2</f>
        <v>1.982905982905983</v>
      </c>
      <c r="J13" s="1">
        <f>VLOOKUP(Inv_Sy[[#This Row],[Date]],RD[#All],J$1,0)/J$2</f>
        <v>1.8693910256410255</v>
      </c>
      <c r="K13" s="1">
        <f>VLOOKUP(Inv_Sy[[#This Row],[Date]],RD[#All],K$1,0)/K$2</f>
        <v>1.8945868945868947</v>
      </c>
      <c r="L13" s="1">
        <f>VLOOKUP(Inv_Sy[[#This Row],[Date]],RD[#All],L$1,0)/L$2</f>
        <v>2.0286415711947625</v>
      </c>
      <c r="M13" s="1">
        <f>VLOOKUP(Inv_Sy[[#This Row],[Date]],RD[#All],M$1,0)/M$2</f>
        <v>2.0665922619047619</v>
      </c>
      <c r="N13" s="1">
        <f>VLOOKUP(Inv_Sy[[#This Row],[Date]],RD[#All],N$1,0)/N$2</f>
        <v>2.0302782324058919</v>
      </c>
      <c r="O13" s="1">
        <f>VLOOKUP(Inv_Sy[[#This Row],[Date]],RD[#All],O$1,0)/O$2</f>
        <v>2.063802083333333</v>
      </c>
      <c r="P13" s="1">
        <f>AVERAGEIFS(Inv_Sy[[#This Row],[G1 Inv1]:[G5 Inv10]],Inv_Sy[[#This Row],[G1 Inv1]:[G5 Inv10]],"&lt;&gt;"&amp;0)</f>
        <v>1.9909040313877413</v>
      </c>
      <c r="Q13" s="1">
        <f>VLOOKUP(Inv_Sy[[#This Row],[Date]],RD[#All],Q$1,0)/Q$2</f>
        <v>2.1994152145053691</v>
      </c>
      <c r="R13" s="1">
        <f>VLOOKUP(Inv_Sy[[#This Row],[Date]],RD[#All],R$1,0)/R$2</f>
        <v>2.1473130955889581</v>
      </c>
      <c r="S13" s="1">
        <f>VLOOKUP(Inv_Sy[[#This Row],[Date]],RD[#All],S$1,0)/S$2</f>
        <v>2.2654507420304708</v>
      </c>
      <c r="T13" s="1">
        <f>VLOOKUP(Inv_Sy[[#This Row],[Date]],RD[#All],T$1,0)/T$2</f>
        <v>2.2032161534347683</v>
      </c>
      <c r="U13" s="1">
        <f>VLOOKUP(Inv_Sy[[#This Row],[Date]],RD[#All],U$1,0)/U$2</f>
        <v>2.1856122117570638</v>
      </c>
      <c r="V13" s="1">
        <f>VLOOKUP(Inv_Sy[[#This Row],[Date]],RD[#All],V$1,0)/V$2</f>
        <v>2.191801454283778</v>
      </c>
      <c r="W13" s="1">
        <f>VLOOKUP(Inv_Sy[[#This Row],[Date]],RD[#All],W$1,0)/W$2</f>
        <v>2.1824309747589257</v>
      </c>
      <c r="X13" s="1">
        <f>VLOOKUP(Inv_Sy[[#This Row],[Date]],RD[#All],X$1,0)/X$2</f>
        <v>2.1512637940737478</v>
      </c>
      <c r="Y13" s="1">
        <f>VLOOKUP(Inv_Sy[[#This Row],[Date]],RD[#All],Y$1,0)/Y$2</f>
        <v>2.163459554626356</v>
      </c>
      <c r="Z13" s="1">
        <f>VLOOKUP(Inv_Sy[[#This Row],[Date]],RD[#All],Z$1,0)/Z$2</f>
        <v>2.063154904479982</v>
      </c>
      <c r="AA13" s="1">
        <f t="shared" si="1"/>
        <v>2.1753118099539424</v>
      </c>
      <c r="AB13" s="1">
        <f>MAX(Inv_Sy[[#This Row],[G1 Inv1]:[IS1_Inv2]])</f>
        <v>2.2654507420304708</v>
      </c>
      <c r="AC13"/>
    </row>
    <row r="14" spans="1:29" ht="15" customHeight="1" x14ac:dyDescent="0.2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45847</v>
      </c>
      <c r="F14" s="1">
        <f>VLOOKUP(Inv_Sy[[#This Row],[Date]],RD[#All],F$1,0)/F$2</f>
        <v>1.89453125</v>
      </c>
      <c r="G14" s="1">
        <f>VLOOKUP(Inv_Sy[[#This Row],[Date]],RD[#All],G$1,0)/G$2</f>
        <v>1.884765625</v>
      </c>
      <c r="H14" s="1">
        <f>VLOOKUP(Inv_Sy[[#This Row],[Date]],RD[#All],H$1,0)/H$2</f>
        <v>1.8954613095238095</v>
      </c>
      <c r="I14" s="1">
        <f>VLOOKUP(Inv_Sy[[#This Row],[Date]],RD[#All],I$1,0)/I$2</f>
        <v>1.8860398860398861</v>
      </c>
      <c r="J14" s="1">
        <f>VLOOKUP(Inv_Sy[[#This Row],[Date]],RD[#All],J$1,0)/J$2</f>
        <v>1.8886217948717949</v>
      </c>
      <c r="K14" s="1">
        <f>VLOOKUP(Inv_Sy[[#This Row],[Date]],RD[#All],K$1,0)/K$2</f>
        <v>1.895536562203229</v>
      </c>
      <c r="L14" s="1">
        <f>VLOOKUP(Inv_Sy[[#This Row],[Date]],RD[#All],L$1,0)/L$2</f>
        <v>1.9320785597381342</v>
      </c>
      <c r="M14" s="1">
        <f>VLOOKUP(Inv_Sy[[#This Row],[Date]],RD[#All],M$1,0)/M$2</f>
        <v>1.9698660714285714</v>
      </c>
      <c r="N14" s="1">
        <f>VLOOKUP(Inv_Sy[[#This Row],[Date]],RD[#All],N$1,0)/N$2</f>
        <v>1.927986906710311</v>
      </c>
      <c r="O14" s="1">
        <f>VLOOKUP(Inv_Sy[[#This Row],[Date]],RD[#All],O$1,0)/O$2</f>
        <v>1.9707961309523809</v>
      </c>
      <c r="P14" s="1">
        <f>AVERAGEIFS(Inv_Sy[[#This Row],[G1 Inv1]:[G5 Inv10]],Inv_Sy[[#This Row],[G1 Inv1]:[G5 Inv10]],"&lt;&gt;"&amp;0)</f>
        <v>1.9145684096468116</v>
      </c>
      <c r="Q14" s="1">
        <f>VLOOKUP(Inv_Sy[[#This Row],[Date]],RD[#All],Q$1,0)/Q$2</f>
        <v>2.1108571812666996</v>
      </c>
      <c r="R14" s="1">
        <f>VLOOKUP(Inv_Sy[[#This Row],[Date]],RD[#All],R$1,0)/R$2</f>
        <v>2.0598781805678361</v>
      </c>
      <c r="S14" s="1">
        <f>VLOOKUP(Inv_Sy[[#This Row],[Date]],RD[#All],S$1,0)/S$2</f>
        <v>2.1734582862519582</v>
      </c>
      <c r="T14" s="1">
        <f>VLOOKUP(Inv_Sy[[#This Row],[Date]],RD[#All],T$1,0)/T$2</f>
        <v>2.1125857824626149</v>
      </c>
      <c r="U14" s="1">
        <f>VLOOKUP(Inv_Sy[[#This Row],[Date]],RD[#All],U$1,0)/U$2</f>
        <v>2.0955667424488467</v>
      </c>
      <c r="V14" s="1">
        <f>VLOOKUP(Inv_Sy[[#This Row],[Date]],RD[#All],V$1,0)/V$2</f>
        <v>2.1034399082914259</v>
      </c>
      <c r="W14" s="1">
        <f>VLOOKUP(Inv_Sy[[#This Row],[Date]],RD[#All],W$1,0)/W$2</f>
        <v>2.0957296547007993</v>
      </c>
      <c r="X14" s="1">
        <f>VLOOKUP(Inv_Sy[[#This Row],[Date]],RD[#All],X$1,0)/X$2</f>
        <v>2.0660321188839137</v>
      </c>
      <c r="Y14" s="1">
        <f>VLOOKUP(Inv_Sy[[#This Row],[Date]],RD[#All],Y$1,0)/Y$2</f>
        <v>2.0739171698554388</v>
      </c>
      <c r="Z14" s="1">
        <f>VLOOKUP(Inv_Sy[[#This Row],[Date]],RD[#All],Z$1,0)/Z$2</f>
        <v>1.977480647431386</v>
      </c>
      <c r="AA14" s="1">
        <f t="shared" si="1"/>
        <v>2.0868945672160915</v>
      </c>
      <c r="AB14" s="1">
        <f>MAX(Inv_Sy[[#This Row],[G1 Inv1]:[IS1_Inv2]])</f>
        <v>2.1734582862519582</v>
      </c>
      <c r="AC14"/>
    </row>
    <row r="15" spans="1:29" ht="15" customHeight="1" x14ac:dyDescent="0.2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45848</v>
      </c>
      <c r="F15" s="1">
        <f>VLOOKUP(Inv_Sy[[#This Row],[Date]],RD[#All],F$1,0)/F$2</f>
        <v>1.5959821428571428</v>
      </c>
      <c r="G15" s="1">
        <f>VLOOKUP(Inv_Sy[[#This Row],[Date]],RD[#All],G$1,0)/G$2</f>
        <v>1.5494791666666667</v>
      </c>
      <c r="H15" s="1">
        <f>VLOOKUP(Inv_Sy[[#This Row],[Date]],RD[#All],H$1,0)/H$2</f>
        <v>1.5792410714285714</v>
      </c>
      <c r="I15" s="1">
        <f>VLOOKUP(Inv_Sy[[#This Row],[Date]],RD[#All],I$1,0)/I$2</f>
        <v>1.3658933658933659</v>
      </c>
      <c r="J15" s="1">
        <f>VLOOKUP(Inv_Sy[[#This Row],[Date]],RD[#All],J$1,0)/J$2</f>
        <v>1.5528846153846154</v>
      </c>
      <c r="K15" s="1">
        <f>VLOOKUP(Inv_Sy[[#This Row],[Date]],RD[#All],K$1,0)/K$2</f>
        <v>1.5830959164292497</v>
      </c>
      <c r="L15" s="1">
        <f>VLOOKUP(Inv_Sy[[#This Row],[Date]],RD[#All],L$1,0)/L$2</f>
        <v>1.2422258592471358</v>
      </c>
      <c r="M15" s="1">
        <f>VLOOKUP(Inv_Sy[[#This Row],[Date]],RD[#All],M$1,0)/M$2</f>
        <v>1.4109002976190474</v>
      </c>
      <c r="N15" s="1">
        <f>VLOOKUP(Inv_Sy[[#This Row],[Date]],RD[#All],N$1,0)/N$2</f>
        <v>1.3527004909983633</v>
      </c>
      <c r="O15" s="1">
        <f>VLOOKUP(Inv_Sy[[#This Row],[Date]],RD[#All],O$1,0)/O$2</f>
        <v>1.3039434523809523</v>
      </c>
      <c r="P15" s="1">
        <f>AVERAGEIFS(Inv_Sy[[#This Row],[G1 Inv1]:[G5 Inv10]],Inv_Sy[[#This Row],[G1 Inv1]:[G5 Inv10]],"&lt;&gt;"&amp;0)</f>
        <v>1.4536346378905107</v>
      </c>
      <c r="Q15" s="1">
        <f>VLOOKUP(Inv_Sy[[#This Row],[Date]],RD[#All],Q$1,0)/Q$2</f>
        <v>1.8444268934110808</v>
      </c>
      <c r="R15" s="1">
        <f>VLOOKUP(Inv_Sy[[#This Row],[Date]],RD[#All],R$1,0)/R$2</f>
        <v>1.7997838687493863</v>
      </c>
      <c r="S15" s="1">
        <f>VLOOKUP(Inv_Sy[[#This Row],[Date]],RD[#All],S$1,0)/S$2</f>
        <v>1.9026056127999729</v>
      </c>
      <c r="T15" s="1">
        <f>VLOOKUP(Inv_Sy[[#This Row],[Date]],RD[#All],T$1,0)/T$2</f>
        <v>1.8530236659576811</v>
      </c>
      <c r="U15" s="1">
        <f>VLOOKUP(Inv_Sy[[#This Row],[Date]],RD[#All],U$1,0)/U$2</f>
        <v>1.8394771029555048</v>
      </c>
      <c r="V15" s="1">
        <f>VLOOKUP(Inv_Sy[[#This Row],[Date]],RD[#All],V$1,0)/V$2</f>
        <v>1.8389410002593947</v>
      </c>
      <c r="W15" s="1">
        <f>VLOOKUP(Inv_Sy[[#This Row],[Date]],RD[#All],W$1,0)/W$2</f>
        <v>1.8294385580715671</v>
      </c>
      <c r="X15" s="1">
        <f>VLOOKUP(Inv_Sy[[#This Row],[Date]],RD[#All],X$1,0)/X$2</f>
        <v>1.8001419168562969</v>
      </c>
      <c r="Y15" s="1">
        <f>VLOOKUP(Inv_Sy[[#This Row],[Date]],RD[#All],Y$1,0)/Y$2</f>
        <v>1.8252341719048728</v>
      </c>
      <c r="Z15" s="1">
        <f>VLOOKUP(Inv_Sy[[#This Row],[Date]],RD[#All],Z$1,0)/Z$2</f>
        <v>1.7393100865781297</v>
      </c>
      <c r="AA15" s="1">
        <f t="shared" si="1"/>
        <v>1.8272382877543887</v>
      </c>
      <c r="AB15" s="1">
        <f>MAX(Inv_Sy[[#This Row],[G1 Inv1]:[IS1_Inv2]])</f>
        <v>1.9026056127999729</v>
      </c>
      <c r="AC15"/>
    </row>
    <row r="16" spans="1:29" ht="15" customHeight="1" x14ac:dyDescent="0.2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45849</v>
      </c>
      <c r="F16" s="1">
        <f>VLOOKUP(Inv_Sy[[#This Row],[Date]],RD[#All],F$1,0)/F$2</f>
        <v>3.26171875</v>
      </c>
      <c r="G16" s="1">
        <f>VLOOKUP(Inv_Sy[[#This Row],[Date]],RD[#All],G$1,0)/G$2</f>
        <v>3.207194010416667</v>
      </c>
      <c r="H16" s="1">
        <f>VLOOKUP(Inv_Sy[[#This Row],[Date]],RD[#All],H$1,0)/H$2</f>
        <v>3.2607886904761902</v>
      </c>
      <c r="I16" s="1">
        <f>VLOOKUP(Inv_Sy[[#This Row],[Date]],RD[#All],I$1,0)/I$2</f>
        <v>2.6992266992266991</v>
      </c>
      <c r="J16" s="1">
        <f>VLOOKUP(Inv_Sy[[#This Row],[Date]],RD[#All],J$1,0)/J$2</f>
        <v>3.2628205128205128</v>
      </c>
      <c r="K16" s="1">
        <f>VLOOKUP(Inv_Sy[[#This Row],[Date]],RD[#All],K$1,0)/K$2</f>
        <v>3.2687559354226021</v>
      </c>
      <c r="L16" s="1">
        <f>VLOOKUP(Inv_Sy[[#This Row],[Date]],RD[#All],L$1,0)/L$2</f>
        <v>3.3698854337152211</v>
      </c>
      <c r="M16" s="1">
        <f>VLOOKUP(Inv_Sy[[#This Row],[Date]],RD[#All],M$1,0)/M$2</f>
        <v>3.4170386904761902</v>
      </c>
      <c r="N16" s="1">
        <f>VLOOKUP(Inv_Sy[[#This Row],[Date]],RD[#All],N$1,0)/N$2</f>
        <v>3.3117839607201311</v>
      </c>
      <c r="O16" s="1">
        <f>VLOOKUP(Inv_Sy[[#This Row],[Date]],RD[#All],O$1,0)/O$2</f>
        <v>3.4579613095238093</v>
      </c>
      <c r="P16" s="1">
        <f>AVERAGEIFS(Inv_Sy[[#This Row],[G1 Inv1]:[G5 Inv10]],Inv_Sy[[#This Row],[G1 Inv1]:[G5 Inv10]],"&lt;&gt;"&amp;0)</f>
        <v>3.2517173992798023</v>
      </c>
      <c r="Q16" s="1">
        <f>VLOOKUP(Inv_Sy[[#This Row],[Date]],RD[#All],Q$1,0)/Q$2</f>
        <v>3.8296728225982628</v>
      </c>
      <c r="R16" s="1">
        <f>VLOOKUP(Inv_Sy[[#This Row],[Date]],RD[#All],R$1,0)/R$2</f>
        <v>3.7175393784589192</v>
      </c>
      <c r="S16" s="1">
        <f>VLOOKUP(Inv_Sy[[#This Row],[Date]],RD[#All],S$1,0)/S$2</f>
        <v>3.9424018012038826</v>
      </c>
      <c r="T16" s="1">
        <f>VLOOKUP(Inv_Sy[[#This Row],[Date]],RD[#All],T$1,0)/T$2</f>
        <v>3.5065788667937663</v>
      </c>
      <c r="U16" s="1">
        <f>VLOOKUP(Inv_Sy[[#This Row],[Date]],RD[#All],U$1,0)/U$2</f>
        <v>3.8559597271841501</v>
      </c>
      <c r="V16" s="1">
        <f>VLOOKUP(Inv_Sy[[#This Row],[Date]],RD[#All],V$1,0)/V$2</f>
        <v>3.8666543942297236</v>
      </c>
      <c r="W16" s="1">
        <f>VLOOKUP(Inv_Sy[[#This Row],[Date]],RD[#All],W$1,0)/W$2</f>
        <v>3.8371643376711124</v>
      </c>
      <c r="X16" s="1">
        <f>VLOOKUP(Inv_Sy[[#This Row],[Date]],RD[#All],X$1,0)/X$2</f>
        <v>3.7796373779637382</v>
      </c>
      <c r="Y16" s="1">
        <f>VLOOKUP(Inv_Sy[[#This Row],[Date]],RD[#All],Y$1,0)/Y$2</f>
        <v>3.7220609878546957</v>
      </c>
      <c r="Z16" s="1">
        <f>VLOOKUP(Inv_Sy[[#This Row],[Date]],RD[#All],Z$1,0)/Z$2</f>
        <v>3.5797248352045652</v>
      </c>
      <c r="AA16" s="1">
        <f t="shared" si="1"/>
        <v>3.7637394529162811</v>
      </c>
      <c r="AB16" s="1">
        <f>MAX(Inv_Sy[[#This Row],[G1 Inv1]:[IS1_Inv2]])</f>
        <v>3.9424018012038826</v>
      </c>
      <c r="AC16"/>
    </row>
    <row r="17" spans="1:29" ht="15" customHeight="1" x14ac:dyDescent="0.2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45850</v>
      </c>
      <c r="F17" s="1">
        <f>VLOOKUP(Inv_Sy[[#This Row],[Date]],RD[#All],F$1,0)/F$2</f>
        <v>3.5342261904761902</v>
      </c>
      <c r="G17" s="1">
        <f>VLOOKUP(Inv_Sy[[#This Row],[Date]],RD[#All],G$1,0)/G$2</f>
        <v>3.507486979166667</v>
      </c>
      <c r="H17" s="1">
        <f>VLOOKUP(Inv_Sy[[#This Row],[Date]],RD[#All],H$1,0)/H$2</f>
        <v>3.5370163690476191</v>
      </c>
      <c r="I17" s="1">
        <f>VLOOKUP(Inv_Sy[[#This Row],[Date]],RD[#All],I$1,0)/I$2</f>
        <v>3.5335775335775335</v>
      </c>
      <c r="J17" s="1">
        <f>VLOOKUP(Inv_Sy[[#This Row],[Date]],RD[#All],J$1,0)/J$2</f>
        <v>3.5496794871794872</v>
      </c>
      <c r="K17" s="1">
        <f>VLOOKUP(Inv_Sy[[#This Row],[Date]],RD[#All],K$1,0)/K$2</f>
        <v>3.5280151946818612</v>
      </c>
      <c r="L17" s="1">
        <f>VLOOKUP(Inv_Sy[[#This Row],[Date]],RD[#All],L$1,0)/L$2</f>
        <v>3.5949263502454993</v>
      </c>
      <c r="M17" s="1">
        <f>VLOOKUP(Inv_Sy[[#This Row],[Date]],RD[#All],M$1,0)/M$2</f>
        <v>3.6328125</v>
      </c>
      <c r="N17" s="1">
        <f>VLOOKUP(Inv_Sy[[#This Row],[Date]],RD[#All],N$1,0)/N$2</f>
        <v>3.513911620294599</v>
      </c>
      <c r="O17" s="1">
        <f>VLOOKUP(Inv_Sy[[#This Row],[Date]],RD[#All],O$1,0)/O$2</f>
        <v>3.6197916666666665</v>
      </c>
      <c r="P17" s="1">
        <f>AVERAGEIFS(Inv_Sy[[#This Row],[G1 Inv1]:[G5 Inv10]],Inv_Sy[[#This Row],[G1 Inv1]:[G5 Inv10]],"&lt;&gt;"&amp;0)</f>
        <v>3.5551443891336119</v>
      </c>
      <c r="Q17" s="1">
        <f>VLOOKUP(Inv_Sy[[#This Row],[Date]],RD[#All],Q$1,0)/Q$2</f>
        <v>3.9914970844746183</v>
      </c>
      <c r="R17" s="1">
        <f>VLOOKUP(Inv_Sy[[#This Row],[Date]],RD[#All],R$1,0)/R$2</f>
        <v>3.883894947113339</v>
      </c>
      <c r="S17" s="1">
        <f>VLOOKUP(Inv_Sy[[#This Row],[Date]],RD[#All],S$1,0)/S$2</f>
        <v>4.0911859465771663</v>
      </c>
      <c r="T17" s="1">
        <f>VLOOKUP(Inv_Sy[[#This Row],[Date]],RD[#All],T$1,0)/T$2</f>
        <v>3.9233969242828151</v>
      </c>
      <c r="U17" s="1">
        <f>VLOOKUP(Inv_Sy[[#This Row],[Date]],RD[#All],U$1,0)/U$2</f>
        <v>3.9509581032802852</v>
      </c>
      <c r="V17" s="1">
        <f>VLOOKUP(Inv_Sy[[#This Row],[Date]],RD[#All],V$1,0)/V$2</f>
        <v>3.9786961651423742</v>
      </c>
      <c r="W17" s="1">
        <f>VLOOKUP(Inv_Sy[[#This Row],[Date]],RD[#All],W$1,0)/W$2</f>
        <v>3.9479629260270848</v>
      </c>
      <c r="X17" s="1">
        <f>VLOOKUP(Inv_Sy[[#This Row],[Date]],RD[#All],X$1,0)/X$2</f>
        <v>3.8987986004061761</v>
      </c>
      <c r="Y17" s="1">
        <f>VLOOKUP(Inv_Sy[[#This Row],[Date]],RD[#All],Y$1,0)/Y$2</f>
        <v>4.0054055541036808</v>
      </c>
      <c r="Z17" s="1">
        <f>VLOOKUP(Inv_Sy[[#This Row],[Date]],RD[#All],Z$1,0)/Z$2</f>
        <v>3.844301402940169</v>
      </c>
      <c r="AA17" s="1">
        <f t="shared" si="1"/>
        <v>3.951609765434771</v>
      </c>
      <c r="AB17" s="1">
        <f>MAX(Inv_Sy[[#This Row],[G1 Inv1]:[IS1_Inv2]])</f>
        <v>4.0911859465771663</v>
      </c>
      <c r="AC17"/>
    </row>
    <row r="18" spans="1:29" ht="15" customHeight="1" x14ac:dyDescent="0.2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45851</v>
      </c>
      <c r="F18" s="1">
        <f>VLOOKUP(Inv_Sy[[#This Row],[Date]],RD[#All],F$1,0)/F$2</f>
        <v>3.3035714285714284</v>
      </c>
      <c r="G18" s="1">
        <f>VLOOKUP(Inv_Sy[[#This Row],[Date]],RD[#All],G$1,0)/G$2</f>
        <v>3.287760416666667</v>
      </c>
      <c r="H18" s="1">
        <f>VLOOKUP(Inv_Sy[[#This Row],[Date]],RD[#All],H$1,0)/H$2</f>
        <v>3.3165922619047619</v>
      </c>
      <c r="I18" s="1">
        <f>VLOOKUP(Inv_Sy[[#This Row],[Date]],RD[#All],I$1,0)/I$2</f>
        <v>3.2926332926332926</v>
      </c>
      <c r="J18" s="1">
        <f>VLOOKUP(Inv_Sy[[#This Row],[Date]],RD[#All],J$1,0)/J$2</f>
        <v>3.3141025641025643</v>
      </c>
      <c r="K18" s="1">
        <f>VLOOKUP(Inv_Sy[[#This Row],[Date]],RD[#All],K$1,0)/K$2</f>
        <v>3.3551756885090218</v>
      </c>
      <c r="L18" s="1">
        <f>VLOOKUP(Inv_Sy[[#This Row],[Date]],RD[#All],L$1,0)/L$2</f>
        <v>3.3813420621931258</v>
      </c>
      <c r="M18" s="1">
        <f>VLOOKUP(Inv_Sy[[#This Row],[Date]],RD[#All],M$1,0)/M$2</f>
        <v>3.4375</v>
      </c>
      <c r="N18" s="1">
        <f>VLOOKUP(Inv_Sy[[#This Row],[Date]],RD[#All],N$1,0)/N$2</f>
        <v>3.3518821603927988</v>
      </c>
      <c r="O18" s="1">
        <f>VLOOKUP(Inv_Sy[[#This Row],[Date]],RD[#All],O$1,0)/O$2</f>
        <v>3.4765625</v>
      </c>
      <c r="P18" s="1">
        <f>AVERAGEIFS(Inv_Sy[[#This Row],[G1 Inv1]:[G5 Inv10]],Inv_Sy[[#This Row],[G1 Inv1]:[G5 Inv10]],"&lt;&gt;"&amp;0)</f>
        <v>3.3517122374973658</v>
      </c>
      <c r="Q18" s="1">
        <f>VLOOKUP(Inv_Sy[[#This Row],[Date]],RD[#All],Q$1,0)/Q$2</f>
        <v>3.8046345930867602</v>
      </c>
      <c r="R18" s="1">
        <f>VLOOKUP(Inv_Sy[[#This Row],[Date]],RD[#All],R$1,0)/R$2</f>
        <v>3.7218783770507913</v>
      </c>
      <c r="S18" s="1">
        <f>VLOOKUP(Inv_Sy[[#This Row],[Date]],RD[#All],S$1,0)/S$2</f>
        <v>3.950802938717902</v>
      </c>
      <c r="T18" s="1">
        <f>VLOOKUP(Inv_Sy[[#This Row],[Date]],RD[#All],T$1,0)/T$2</f>
        <v>3.7965144049218007</v>
      </c>
      <c r="U18" s="1">
        <f>VLOOKUP(Inv_Sy[[#This Row],[Date]],RD[#All],U$1,0)/U$2</f>
        <v>3.8162552776875609</v>
      </c>
      <c r="V18" s="1">
        <f>VLOOKUP(Inv_Sy[[#This Row],[Date]],RD[#All],V$1,0)/V$2</f>
        <v>3.8072446426628961</v>
      </c>
      <c r="W18" s="1">
        <f>VLOOKUP(Inv_Sy[[#This Row],[Date]],RD[#All],W$1,0)/W$2</f>
        <v>3.7652795812285538</v>
      </c>
      <c r="X18" s="1">
        <f>VLOOKUP(Inv_Sy[[#This Row],[Date]],RD[#All],X$1,0)/X$2</f>
        <v>3.6981575277104897</v>
      </c>
      <c r="Y18" s="1">
        <f>VLOOKUP(Inv_Sy[[#This Row],[Date]],RD[#All],Y$1,0)/Y$2</f>
        <v>3.7779733986217887</v>
      </c>
      <c r="Z18" s="1">
        <f>VLOOKUP(Inv_Sy[[#This Row],[Date]],RD[#All],Z$1,0)/Z$2</f>
        <v>3.6024507873380287</v>
      </c>
      <c r="AA18" s="1">
        <f t="shared" si="1"/>
        <v>3.7741191529026565</v>
      </c>
      <c r="AB18" s="1">
        <f>MAX(Inv_Sy[[#This Row],[G1 Inv1]:[IS1_Inv2]])</f>
        <v>3.950802938717902</v>
      </c>
      <c r="AC18"/>
    </row>
    <row r="19" spans="1:29" ht="15" customHeight="1" x14ac:dyDescent="0.2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45852</v>
      </c>
      <c r="F19" s="1">
        <f>VLOOKUP(Inv_Sy[[#This Row],[Date]],RD[#All],F$1,0)/F$2</f>
        <v>3.5212053571428572</v>
      </c>
      <c r="G19" s="1">
        <f>VLOOKUP(Inv_Sy[[#This Row],[Date]],RD[#All],G$1,0)/G$2</f>
        <v>3.419596354166667</v>
      </c>
      <c r="H19" s="1">
        <f>VLOOKUP(Inv_Sy[[#This Row],[Date]],RD[#All],H$1,0)/H$2</f>
        <v>3.4951636904761902</v>
      </c>
      <c r="I19" s="1">
        <f>VLOOKUP(Inv_Sy[[#This Row],[Date]],RD[#All],I$1,0)/I$2</f>
        <v>3.4708994708994707</v>
      </c>
      <c r="J19" s="1">
        <f>VLOOKUP(Inv_Sy[[#This Row],[Date]],RD[#All],J$1,0)/J$2</f>
        <v>2.4254807692307692</v>
      </c>
      <c r="K19" s="1">
        <f>VLOOKUP(Inv_Sy[[#This Row],[Date]],RD[#All],K$1,0)/K$2</f>
        <v>2.5061728395061729</v>
      </c>
      <c r="L19" s="1">
        <f>VLOOKUP(Inv_Sy[[#This Row],[Date]],RD[#All],L$1,0)/L$2</f>
        <v>2.8625204582651391</v>
      </c>
      <c r="M19" s="1">
        <f>VLOOKUP(Inv_Sy[[#This Row],[Date]],RD[#All],M$1,0)/M$2</f>
        <v>3.5146949404761902</v>
      </c>
      <c r="N19" s="1">
        <f>VLOOKUP(Inv_Sy[[#This Row],[Date]],RD[#All],N$1,0)/N$2</f>
        <v>3.4852700490998365</v>
      </c>
      <c r="O19" s="1">
        <f>VLOOKUP(Inv_Sy[[#This Row],[Date]],RD[#All],O$1,0)/O$2</f>
        <v>3.5565476190476191</v>
      </c>
      <c r="P19" s="1">
        <f>AVERAGEIFS(Inv_Sy[[#This Row],[G1 Inv1]:[G5 Inv10]],Inv_Sy[[#This Row],[G1 Inv1]:[G5 Inv10]],"&lt;&gt;"&amp;0)</f>
        <v>3.2257551548310905</v>
      </c>
      <c r="Q19" s="1">
        <f>VLOOKUP(Inv_Sy[[#This Row],[Date]],RD[#All],Q$1,0)/Q$2</f>
        <v>3.9725083600799884</v>
      </c>
      <c r="R19" s="1">
        <f>VLOOKUP(Inv_Sy[[#This Row],[Date]],RD[#All],R$1,0)/R$2</f>
        <v>3.8283885122965593</v>
      </c>
      <c r="S19" s="1">
        <f>VLOOKUP(Inv_Sy[[#This Row],[Date]],RD[#All],S$1,0)/S$2</f>
        <v>4.1168094159949256</v>
      </c>
      <c r="T19" s="1">
        <f>VLOOKUP(Inv_Sy[[#This Row],[Date]],RD[#All],T$1,0)/T$2</f>
        <v>4.0114145278035194</v>
      </c>
      <c r="U19" s="1">
        <f>VLOOKUP(Inv_Sy[[#This Row],[Date]],RD[#All],U$1,0)/U$2</f>
        <v>3.9702825592724906</v>
      </c>
      <c r="V19" s="1">
        <f>VLOOKUP(Inv_Sy[[#This Row],[Date]],RD[#All],V$1,0)/V$2</f>
        <v>3.9803696792710173</v>
      </c>
      <c r="W19" s="1">
        <f>VLOOKUP(Inv_Sy[[#This Row],[Date]],RD[#All],W$1,0)/W$2</f>
        <v>3.9263893581252978</v>
      </c>
      <c r="X19" s="1">
        <f>VLOOKUP(Inv_Sy[[#This Row],[Date]],RD[#All],X$1,0)/X$2</f>
        <v>3.8754720366700113</v>
      </c>
      <c r="Y19" s="1">
        <f>VLOOKUP(Inv_Sy[[#This Row],[Date]],RD[#All],Y$1,0)/Y$2</f>
        <v>3.9481176842771264</v>
      </c>
      <c r="Z19" s="1">
        <f>VLOOKUP(Inv_Sy[[#This Row],[Date]],RD[#All],Z$1,0)/Z$2</f>
        <v>3.7630819490086442</v>
      </c>
      <c r="AA19" s="1">
        <f t="shared" si="1"/>
        <v>3.9392834082799579</v>
      </c>
      <c r="AB19" s="1">
        <f>MAX(Inv_Sy[[#This Row],[G1 Inv1]:[IS1_Inv2]])</f>
        <v>4.1168094159949256</v>
      </c>
      <c r="AC19"/>
    </row>
    <row r="20" spans="1:29" ht="15" customHeight="1" x14ac:dyDescent="0.2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45853</v>
      </c>
      <c r="F20" s="1">
        <f>VLOOKUP(Inv_Sy[[#This Row],[Date]],RD[#All],F$1,0)/F$2</f>
        <v>3.1538318452380949</v>
      </c>
      <c r="G20" s="1">
        <f>VLOOKUP(Inv_Sy[[#This Row],[Date]],RD[#All],G$1,0)/G$2</f>
        <v>3.2039388020833335</v>
      </c>
      <c r="H20" s="1">
        <f>VLOOKUP(Inv_Sy[[#This Row],[Date]],RD[#All],H$1,0)/H$2</f>
        <v>3.2040550595238093</v>
      </c>
      <c r="I20" s="1">
        <f>VLOOKUP(Inv_Sy[[#This Row],[Date]],RD[#All],I$1,0)/I$2</f>
        <v>3.1859991859991861</v>
      </c>
      <c r="J20" s="1">
        <f>VLOOKUP(Inv_Sy[[#This Row],[Date]],RD[#All],J$1,0)/J$2</f>
        <v>3.2179487179487181</v>
      </c>
      <c r="K20" s="1">
        <f>VLOOKUP(Inv_Sy[[#This Row],[Date]],RD[#All],K$1,0)/K$2</f>
        <v>3.1908831908831909</v>
      </c>
      <c r="L20" s="1">
        <f>VLOOKUP(Inv_Sy[[#This Row],[Date]],RD[#All],L$1,0)/L$2</f>
        <v>3.257774140752864</v>
      </c>
      <c r="M20" s="1">
        <f>VLOOKUP(Inv_Sy[[#This Row],[Date]],RD[#All],M$1,0)/M$2</f>
        <v>3.2635788690476191</v>
      </c>
      <c r="N20" s="1">
        <f>VLOOKUP(Inv_Sy[[#This Row],[Date]],RD[#All],N$1,0)/N$2</f>
        <v>3.1865793780687399</v>
      </c>
      <c r="O20" s="1">
        <f>VLOOKUP(Inv_Sy[[#This Row],[Date]],RD[#All],O$1,0)/O$2</f>
        <v>3.2468377976190474</v>
      </c>
      <c r="P20" s="1">
        <f>AVERAGEIFS(Inv_Sy[[#This Row],[G1 Inv1]:[G5 Inv10]],Inv_Sy[[#This Row],[G1 Inv1]:[G5 Inv10]],"&lt;&gt;"&amp;0)</f>
        <v>3.2111426987164604</v>
      </c>
      <c r="Q20" s="1">
        <f>VLOOKUP(Inv_Sy[[#This Row],[Date]],RD[#All],Q$1,0)/Q$2</f>
        <v>3.4851871145541016</v>
      </c>
      <c r="R20" s="1">
        <f>VLOOKUP(Inv_Sy[[#This Row],[Date]],RD[#All],R$1,0)/R$2</f>
        <v>3.2928087238432071</v>
      </c>
      <c r="S20" s="1">
        <f>VLOOKUP(Inv_Sy[[#This Row],[Date]],RD[#All],S$1,0)/S$2</f>
        <v>3.558889873688897</v>
      </c>
      <c r="T20" s="1">
        <f>VLOOKUP(Inv_Sy[[#This Row],[Date]],RD[#All],T$1,0)/T$2</f>
        <v>3.457671126061947</v>
      </c>
      <c r="U20" s="1">
        <f>VLOOKUP(Inv_Sy[[#This Row],[Date]],RD[#All],U$1,0)/U$2</f>
        <v>3.4316336472880797</v>
      </c>
      <c r="V20" s="1">
        <f>VLOOKUP(Inv_Sy[[#This Row],[Date]],RD[#All],V$1,0)/V$2</f>
        <v>3.4584842982536883</v>
      </c>
      <c r="W20" s="1">
        <f>VLOOKUP(Inv_Sy[[#This Row],[Date]],RD[#All],W$1,0)/W$2</f>
        <v>3.4455837278311234</v>
      </c>
      <c r="X20" s="1">
        <f>VLOOKUP(Inv_Sy[[#This Row],[Date]],RD[#All],X$1,0)/X$2</f>
        <v>3.400539936545222</v>
      </c>
      <c r="Y20" s="1">
        <f>VLOOKUP(Inv_Sy[[#This Row],[Date]],RD[#All],Y$1,0)/Y$2</f>
        <v>3.4830749762733304</v>
      </c>
      <c r="Z20" s="1">
        <f>VLOOKUP(Inv_Sy[[#This Row],[Date]],RD[#All],Z$1,0)/Z$2</f>
        <v>3.3780320100200782</v>
      </c>
      <c r="AA20" s="1">
        <f t="shared" si="1"/>
        <v>3.4391905434359673</v>
      </c>
      <c r="AB20" s="1">
        <f>MAX(Inv_Sy[[#This Row],[G1 Inv1]:[IS1_Inv2]])</f>
        <v>3.558889873688897</v>
      </c>
      <c r="AC20"/>
    </row>
    <row r="21" spans="1:29" ht="15" customHeight="1" x14ac:dyDescent="0.2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45854</v>
      </c>
      <c r="F21" s="1">
        <f>VLOOKUP(Inv_Sy[[#This Row],[Date]],RD[#All],F$1,0)/F$2</f>
        <v>4.1871279761904763</v>
      </c>
      <c r="G21" s="1">
        <f>VLOOKUP(Inv_Sy[[#This Row],[Date]],RD[#All],G$1,0)/G$2</f>
        <v>4.200846354166667</v>
      </c>
      <c r="H21" s="1">
        <f>VLOOKUP(Inv_Sy[[#This Row],[Date]],RD[#All],H$1,0)/H$2</f>
        <v>4.1713169642857144</v>
      </c>
      <c r="I21" s="1">
        <f>VLOOKUP(Inv_Sy[[#This Row],[Date]],RD[#All],I$1,0)/I$2</f>
        <v>3.7207977207977208</v>
      </c>
      <c r="J21" s="1">
        <f>VLOOKUP(Inv_Sy[[#This Row],[Date]],RD[#All],J$1,0)/J$2</f>
        <v>4.1810897435897436</v>
      </c>
      <c r="K21" s="1">
        <f>VLOOKUP(Inv_Sy[[#This Row],[Date]],RD[#All],K$1,0)/K$2</f>
        <v>4.1975308641975309</v>
      </c>
      <c r="L21" s="1">
        <f>VLOOKUP(Inv_Sy[[#This Row],[Date]],RD[#All],L$1,0)/L$2</f>
        <v>4.1963993453355153</v>
      </c>
      <c r="M21" s="1">
        <f>VLOOKUP(Inv_Sy[[#This Row],[Date]],RD[#All],M$1,0)/M$2</f>
        <v>4.39453125</v>
      </c>
      <c r="N21" s="1">
        <f>VLOOKUP(Inv_Sy[[#This Row],[Date]],RD[#All],N$1,0)/N$2</f>
        <v>4.2749590834697218</v>
      </c>
      <c r="O21" s="1">
        <f>VLOOKUP(Inv_Sy[[#This Row],[Date]],RD[#All],O$1,0)/O$2</f>
        <v>4.4233630952380949</v>
      </c>
      <c r="P21" s="1">
        <f>AVERAGEIFS(Inv_Sy[[#This Row],[G1 Inv1]:[G5 Inv10]],Inv_Sy[[#This Row],[G1 Inv1]:[G5 Inv10]],"&lt;&gt;"&amp;0)</f>
        <v>4.1947962397271192</v>
      </c>
      <c r="Q21" s="1">
        <f>VLOOKUP(Inv_Sy[[#This Row],[Date]],RD[#All],Q$1,0)/Q$2</f>
        <v>4.8490144347913766</v>
      </c>
      <c r="R21" s="1">
        <f>VLOOKUP(Inv_Sy[[#This Row],[Date]],RD[#All],R$1,0)/R$2</f>
        <v>4.567901234567902</v>
      </c>
      <c r="S21" s="1">
        <f>VLOOKUP(Inv_Sy[[#This Row],[Date]],RD[#All],S$1,0)/S$2</f>
        <v>4.9227305377148065</v>
      </c>
      <c r="T21" s="1">
        <f>VLOOKUP(Inv_Sy[[#This Row],[Date]],RD[#All],T$1,0)/T$2</f>
        <v>4.7902641752840358</v>
      </c>
      <c r="U21" s="1">
        <f>VLOOKUP(Inv_Sy[[#This Row],[Date]],RD[#All],U$1,0)/U$2</f>
        <v>4.7505683663527112</v>
      </c>
      <c r="V21" s="1">
        <f>VLOOKUP(Inv_Sy[[#This Row],[Date]],RD[#All],V$1,0)/V$2</f>
        <v>4.7809788384138434</v>
      </c>
      <c r="W21" s="1">
        <f>VLOOKUP(Inv_Sy[[#This Row],[Date]],RD[#All],W$1,0)/W$2</f>
        <v>4.7841218540242849</v>
      </c>
      <c r="X21" s="1">
        <f>VLOOKUP(Inv_Sy[[#This Row],[Date]],RD[#All],X$1,0)/X$2</f>
        <v>4.7329271575032417</v>
      </c>
      <c r="Y21" s="1">
        <f>VLOOKUP(Inv_Sy[[#This Row],[Date]],RD[#All],Y$1,0)/Y$2</f>
        <v>4.6593675639244587</v>
      </c>
      <c r="Z21" s="1">
        <f>VLOOKUP(Inv_Sy[[#This Row],[Date]],RD[#All],Z$1,0)/Z$2</f>
        <v>4.5023855793503724</v>
      </c>
      <c r="AA21" s="1">
        <f t="shared" si="1"/>
        <v>4.7340259741927042</v>
      </c>
      <c r="AB21" s="1">
        <f>MAX(Inv_Sy[[#This Row],[G1 Inv1]:[IS1_Inv2]])</f>
        <v>4.9227305377148065</v>
      </c>
      <c r="AC21"/>
    </row>
    <row r="22" spans="1:29" ht="15" customHeight="1" x14ac:dyDescent="0.2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45855</v>
      </c>
      <c r="F22" s="1">
        <f>VLOOKUP(Inv_Sy[[#This Row],[Date]],RD[#All],F$1,0)/F$2</f>
        <v>2.686941964285714</v>
      </c>
      <c r="G22" s="1">
        <f>VLOOKUP(Inv_Sy[[#This Row],[Date]],RD[#All],G$1,0)/G$2</f>
        <v>2.3372395833333335</v>
      </c>
      <c r="H22" s="1">
        <f>VLOOKUP(Inv_Sy[[#This Row],[Date]],RD[#All],H$1,0)/H$2</f>
        <v>2.8459821428571428</v>
      </c>
      <c r="I22" s="1">
        <f>VLOOKUP(Inv_Sy[[#This Row],[Date]],RD[#All],I$1,0)/I$2</f>
        <v>2.8213268213268212</v>
      </c>
      <c r="J22" s="1">
        <f>VLOOKUP(Inv_Sy[[#This Row],[Date]],RD[#All],J$1,0)/J$2</f>
        <v>2.8205128205128207</v>
      </c>
      <c r="K22" s="1">
        <f>VLOOKUP(Inv_Sy[[#This Row],[Date]],RD[#All],K$1,0)/K$2</f>
        <v>2.8461538461538463</v>
      </c>
      <c r="L22" s="1">
        <f>VLOOKUP(Inv_Sy[[#This Row],[Date]],RD[#All],L$1,0)/L$2</f>
        <v>2.6129296235679216</v>
      </c>
      <c r="M22" s="1">
        <f>VLOOKUP(Inv_Sy[[#This Row],[Date]],RD[#All],M$1,0)/M$2</f>
        <v>2.9482886904761902</v>
      </c>
      <c r="N22" s="1">
        <f>VLOOKUP(Inv_Sy[[#This Row],[Date]],RD[#All],N$1,0)/N$2</f>
        <v>2.8780687397708675</v>
      </c>
      <c r="O22" s="1">
        <f>VLOOKUP(Inv_Sy[[#This Row],[Date]],RD[#All],O$1,0)/O$2</f>
        <v>3.0022321428571428</v>
      </c>
      <c r="P22" s="1">
        <f>AVERAGEIFS(Inv_Sy[[#This Row],[G1 Inv1]:[G5 Inv10]],Inv_Sy[[#This Row],[G1 Inv1]:[G5 Inv10]],"&lt;&gt;"&amp;0)</f>
        <v>2.7799676375141802</v>
      </c>
      <c r="Q22" s="1">
        <f>VLOOKUP(Inv_Sy[[#This Row],[Date]],RD[#All],Q$1,0)/Q$2</f>
        <v>3.2989967904014526</v>
      </c>
      <c r="R22" s="1">
        <f>VLOOKUP(Inv_Sy[[#This Row],[Date]],RD[#All],R$1,0)/R$2</f>
        <v>3.1415987163113606</v>
      </c>
      <c r="S22" s="1">
        <f>VLOOKUP(Inv_Sy[[#This Row],[Date]],RD[#All],S$1,0)/S$2</f>
        <v>3.4173307065776704</v>
      </c>
      <c r="T22" s="1">
        <f>VLOOKUP(Inv_Sy[[#This Row],[Date]],RD[#All],T$1,0)/T$2</f>
        <v>3.3208274307922805</v>
      </c>
      <c r="U22" s="1">
        <f>VLOOKUP(Inv_Sy[[#This Row],[Date]],RD[#All],U$1,0)/U$2</f>
        <v>3.3035888275414091</v>
      </c>
      <c r="V22" s="1">
        <f>VLOOKUP(Inv_Sy[[#This Row],[Date]],RD[#All],V$1,0)/V$2</f>
        <v>3.2986636989682787</v>
      </c>
      <c r="W22" s="1">
        <f>VLOOKUP(Inv_Sy[[#This Row],[Date]],RD[#All],W$1,0)/W$2</f>
        <v>3.2668894578521681</v>
      </c>
      <c r="X22" s="1">
        <f>VLOOKUP(Inv_Sy[[#This Row],[Date]],RD[#All],X$1,0)/X$2</f>
        <v>3.2016932149061637</v>
      </c>
      <c r="Y22" s="1">
        <f>VLOOKUP(Inv_Sy[[#This Row],[Date]],RD[#All],Y$1,0)/Y$2</f>
        <v>3.2829456831217412</v>
      </c>
      <c r="Z22" s="1">
        <f>VLOOKUP(Inv_Sy[[#This Row],[Date]],RD[#All],Z$1,0)/Z$2</f>
        <v>3.274105972664294</v>
      </c>
      <c r="AA22" s="1">
        <f t="shared" si="1"/>
        <v>3.2806640499136819</v>
      </c>
      <c r="AB22" s="1">
        <f>MAX(Inv_Sy[[#This Row],[G1 Inv1]:[IS1_Inv2]])</f>
        <v>3.4173307065776704</v>
      </c>
      <c r="AC22"/>
    </row>
    <row r="23" spans="1:29" ht="15" customHeight="1" x14ac:dyDescent="0.2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45856</v>
      </c>
      <c r="F23" s="1">
        <f>VLOOKUP(Inv_Sy[[#This Row],[Date]],RD[#All],F$1,0)/F$2</f>
        <v>2.7529761904761902</v>
      </c>
      <c r="G23" s="1">
        <f>VLOOKUP(Inv_Sy[[#This Row],[Date]],RD[#All],G$1,0)/G$2</f>
        <v>2.767740885416667</v>
      </c>
      <c r="H23" s="1">
        <f>VLOOKUP(Inv_Sy[[#This Row],[Date]],RD[#All],H$1,0)/H$2</f>
        <v>2.7762276785714284</v>
      </c>
      <c r="I23" s="1">
        <f>VLOOKUP(Inv_Sy[[#This Row],[Date]],RD[#All],I$1,0)/I$2</f>
        <v>2.7757427757427759</v>
      </c>
      <c r="J23" s="1">
        <f>VLOOKUP(Inv_Sy[[#This Row],[Date]],RD[#All],J$1,0)/J$2</f>
        <v>2.7596153846153846</v>
      </c>
      <c r="K23" s="1">
        <f>VLOOKUP(Inv_Sy[[#This Row],[Date]],RD[#All],K$1,0)/K$2</f>
        <v>2.7616334283000952</v>
      </c>
      <c r="L23" s="1">
        <f>VLOOKUP(Inv_Sy[[#This Row],[Date]],RD[#All],L$1,0)/L$2</f>
        <v>2.8674304418985268</v>
      </c>
      <c r="M23" s="1">
        <f>VLOOKUP(Inv_Sy[[#This Row],[Date]],RD[#All],M$1,0)/M$2</f>
        <v>2.9175967261904763</v>
      </c>
      <c r="N23" s="1">
        <f>VLOOKUP(Inv_Sy[[#This Row],[Date]],RD[#All],N$1,0)/N$2</f>
        <v>2.8216039279869065</v>
      </c>
      <c r="O23" s="1">
        <f>VLOOKUP(Inv_Sy[[#This Row],[Date]],RD[#All],O$1,0)/O$2</f>
        <v>2.9445684523809521</v>
      </c>
      <c r="P23" s="1">
        <f>AVERAGEIFS(Inv_Sy[[#This Row],[G1 Inv1]:[G5 Inv10]],Inv_Sy[[#This Row],[G1 Inv1]:[G5 Inv10]],"&lt;&gt;"&amp;0)</f>
        <v>2.8145135891579405</v>
      </c>
      <c r="Q23" s="1">
        <f>VLOOKUP(Inv_Sy[[#This Row],[Date]],RD[#All],Q$1,0)/Q$2</f>
        <v>3.2648002823102389</v>
      </c>
      <c r="R23" s="1">
        <f>VLOOKUP(Inv_Sy[[#This Row],[Date]],RD[#All],R$1,0)/R$2</f>
        <v>3.1291547958214627</v>
      </c>
      <c r="S23" s="1">
        <f>VLOOKUP(Inv_Sy[[#This Row],[Date]],RD[#All],S$1,0)/S$2</f>
        <v>3.3500375950903751</v>
      </c>
      <c r="T23" s="1">
        <f>VLOOKUP(Inv_Sy[[#This Row],[Date]],RD[#All],T$1,0)/T$2</f>
        <v>3.2576311180603468</v>
      </c>
      <c r="U23" s="1">
        <f>VLOOKUP(Inv_Sy[[#This Row],[Date]],RD[#All],U$1,0)/U$2</f>
        <v>3.236278012341669</v>
      </c>
      <c r="V23" s="1">
        <f>VLOOKUP(Inv_Sy[[#This Row],[Date]],RD[#All],V$1,0)/V$2</f>
        <v>3.2442744897873803</v>
      </c>
      <c r="W23" s="1">
        <f>VLOOKUP(Inv_Sy[[#This Row],[Date]],RD[#All],W$1,0)/W$2</f>
        <v>3.2309063747857905</v>
      </c>
      <c r="X23" s="1">
        <f>VLOOKUP(Inv_Sy[[#This Row],[Date]],RD[#All],X$1,0)/X$2</f>
        <v>3.1764907387017054</v>
      </c>
      <c r="Y23" s="1">
        <f>VLOOKUP(Inv_Sy[[#This Row],[Date]],RD[#All],Y$1,0)/Y$2</f>
        <v>3.1515205699902333</v>
      </c>
      <c r="Z23" s="1">
        <f>VLOOKUP(Inv_Sy[[#This Row],[Date]],RD[#All],Z$1,0)/Z$2</f>
        <v>3.1348901471376274</v>
      </c>
      <c r="AA23" s="1">
        <f t="shared" si="1"/>
        <v>3.2175984124026824</v>
      </c>
      <c r="AB23" s="1">
        <f>MAX(Inv_Sy[[#This Row],[G1 Inv1]:[IS1_Inv2]])</f>
        <v>3.3500375950903751</v>
      </c>
      <c r="AC23"/>
    </row>
    <row r="24" spans="1:29" ht="15" customHeight="1" x14ac:dyDescent="0.2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45857</v>
      </c>
      <c r="F24" s="1">
        <f>VLOOKUP(Inv_Sy[[#This Row],[Date]],RD[#All],F$1,0)/F$2</f>
        <v>3.6951264880952381</v>
      </c>
      <c r="G24" s="1">
        <f>VLOOKUP(Inv_Sy[[#This Row],[Date]],RD[#All],G$1,0)/G$2</f>
        <v>3.6767578125</v>
      </c>
      <c r="H24" s="1">
        <f>VLOOKUP(Inv_Sy[[#This Row],[Date]],RD[#All],H$1,0)/H$2</f>
        <v>3.6960565476190474</v>
      </c>
      <c r="I24" s="1">
        <f>VLOOKUP(Inv_Sy[[#This Row],[Date]],RD[#All],I$1,0)/I$2</f>
        <v>3.6947496947496949</v>
      </c>
      <c r="J24" s="1">
        <f>VLOOKUP(Inv_Sy[[#This Row],[Date]],RD[#All],J$1,0)/J$2</f>
        <v>3.65625</v>
      </c>
      <c r="K24" s="1">
        <f>VLOOKUP(Inv_Sy[[#This Row],[Date]],RD[#All],K$1,0)/K$2</f>
        <v>3.6894586894586894</v>
      </c>
      <c r="L24" s="1">
        <f>VLOOKUP(Inv_Sy[[#This Row],[Date]],RD[#All],L$1,0)/L$2</f>
        <v>3.7995090016366611</v>
      </c>
      <c r="M24" s="1">
        <f>VLOOKUP(Inv_Sy[[#This Row],[Date]],RD[#All],M$1,0)/M$2</f>
        <v>3.860677083333333</v>
      </c>
      <c r="N24" s="1">
        <f>VLOOKUP(Inv_Sy[[#This Row],[Date]],RD[#All],N$1,0)/N$2</f>
        <v>3.7078559738134205</v>
      </c>
      <c r="O24" s="1">
        <f>VLOOKUP(Inv_Sy[[#This Row],[Date]],RD[#All],O$1,0)/O$2</f>
        <v>3.8597470238095237</v>
      </c>
      <c r="P24" s="1">
        <f>AVERAGEIFS(Inv_Sy[[#This Row],[G1 Inv1]:[G5 Inv10]],Inv_Sy[[#This Row],[G1 Inv1]:[G5 Inv10]],"&lt;&gt;"&amp;0)</f>
        <v>3.7336188315015613</v>
      </c>
      <c r="Q24" s="1">
        <f>VLOOKUP(Inv_Sy[[#This Row],[Date]],RD[#All],Q$1,0)/Q$2</f>
        <v>4.1734023425028157</v>
      </c>
      <c r="R24" s="1">
        <f>VLOOKUP(Inv_Sy[[#This Row],[Date]],RD[#All],R$1,0)/R$2</f>
        <v>4.0686707928087245</v>
      </c>
      <c r="S24" s="1">
        <f>VLOOKUP(Inv_Sy[[#This Row],[Date]],RD[#All],S$1,0)/S$2</f>
        <v>4.2865123937781178</v>
      </c>
      <c r="T24" s="1">
        <f>VLOOKUP(Inv_Sy[[#This Row],[Date]],RD[#All],T$1,0)/T$2</f>
        <v>4.1541369498389473</v>
      </c>
      <c r="U24" s="1">
        <f>VLOOKUP(Inv_Sy[[#This Row],[Date]],RD[#All],U$1,0)/U$2</f>
        <v>4.1439590776226041</v>
      </c>
      <c r="V24" s="1">
        <f>VLOOKUP(Inv_Sy[[#This Row],[Date]],RD[#All],V$1,0)/V$2</f>
        <v>4.1683889916240622</v>
      </c>
      <c r="W24" s="1">
        <f>VLOOKUP(Inv_Sy[[#This Row],[Date]],RD[#All],W$1,0)/W$2</f>
        <v>4.1470910282450921</v>
      </c>
      <c r="X24" s="1">
        <f>VLOOKUP(Inv_Sy[[#This Row],[Date]],RD[#All],X$1,0)/X$2</f>
        <v>4.0885104439387643</v>
      </c>
      <c r="Y24" s="1">
        <f>VLOOKUP(Inv_Sy[[#This Row],[Date]],RD[#All],Y$1,0)/Y$2</f>
        <v>4.0613179648707742</v>
      </c>
      <c r="Z24" s="1">
        <f>VLOOKUP(Inv_Sy[[#This Row],[Date]],RD[#All],Z$1,0)/Z$2</f>
        <v>4.0614891954883809</v>
      </c>
      <c r="AA24" s="1">
        <f t="shared" si="1"/>
        <v>4.1353479180718278</v>
      </c>
      <c r="AB24" s="1">
        <f>MAX(Inv_Sy[[#This Row],[G1 Inv1]:[IS1_Inv2]])</f>
        <v>4.2865123937781178</v>
      </c>
      <c r="AC24"/>
    </row>
    <row r="25" spans="1:29" ht="15" customHeight="1" x14ac:dyDescent="0.2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45858</v>
      </c>
      <c r="F25" s="1">
        <f>VLOOKUP(Inv_Sy[[#This Row],[Date]],RD[#All],F$1,0)/F$2</f>
        <v>4.6493675595238093</v>
      </c>
      <c r="G25" s="1">
        <f>VLOOKUP(Inv_Sy[[#This Row],[Date]],RD[#All],G$1,0)/G$2</f>
        <v>3.7890625</v>
      </c>
      <c r="H25" s="1">
        <f>VLOOKUP(Inv_Sy[[#This Row],[Date]],RD[#All],H$1,0)/H$2</f>
        <v>4.6540178571428568</v>
      </c>
      <c r="I25" s="1">
        <f>VLOOKUP(Inv_Sy[[#This Row],[Date]],RD[#All],I$1,0)/I$2</f>
        <v>4.6788766788766791</v>
      </c>
      <c r="J25" s="1">
        <f>VLOOKUP(Inv_Sy[[#This Row],[Date]],RD[#All],J$1,0)/J$2</f>
        <v>4.6818910256410255</v>
      </c>
      <c r="K25" s="1">
        <f>VLOOKUP(Inv_Sy[[#This Row],[Date]],RD[#All],K$1,0)/K$2</f>
        <v>4.749287749287749</v>
      </c>
      <c r="L25" s="1">
        <f>VLOOKUP(Inv_Sy[[#This Row],[Date]],RD[#All],L$1,0)/L$2</f>
        <v>4.8371522094926354</v>
      </c>
      <c r="M25" s="1">
        <f>VLOOKUP(Inv_Sy[[#This Row],[Date]],RD[#All],M$1,0)/M$2</f>
        <v>4.9237351190476186</v>
      </c>
      <c r="N25" s="1">
        <f>VLOOKUP(Inv_Sy[[#This Row],[Date]],RD[#All],N$1,0)/N$2</f>
        <v>4.6898527004909987</v>
      </c>
      <c r="O25" s="1">
        <f>VLOOKUP(Inv_Sy[[#This Row],[Date]],RD[#All],O$1,0)/O$2</f>
        <v>4.8753720238095237</v>
      </c>
      <c r="P25" s="1">
        <f>AVERAGEIFS(Inv_Sy[[#This Row],[G1 Inv1]:[G5 Inv10]],Inv_Sy[[#This Row],[G1 Inv1]:[G5 Inv10]],"&lt;&gt;"&amp;0)</f>
        <v>4.6528615423312907</v>
      </c>
      <c r="Q25" s="1">
        <f>VLOOKUP(Inv_Sy[[#This Row],[Date]],RD[#All],Q$1,0)/Q$2</f>
        <v>5.5749550488161459</v>
      </c>
      <c r="R25" s="1">
        <f>VLOOKUP(Inv_Sy[[#This Row],[Date]],RD[#All],R$1,0)/R$2</f>
        <v>5.4275141631463484</v>
      </c>
      <c r="S25" s="1">
        <f>VLOOKUP(Inv_Sy[[#This Row],[Date]],RD[#All],S$1,0)/S$2</f>
        <v>5.7093290431524419</v>
      </c>
      <c r="T25" s="1">
        <f>VLOOKUP(Inv_Sy[[#This Row],[Date]],RD[#All],T$1,0)/T$2</f>
        <v>5.5155520900098383</v>
      </c>
      <c r="U25" s="1">
        <f>VLOOKUP(Inv_Sy[[#This Row],[Date]],RD[#All],U$1,0)/U$2</f>
        <v>5.5107177655082813</v>
      </c>
      <c r="V25" s="1">
        <f>VLOOKUP(Inv_Sy[[#This Row],[Date]],RD[#All],V$1,0)/V$2</f>
        <v>5.5692876687111434</v>
      </c>
      <c r="W25" s="1">
        <f>VLOOKUP(Inv_Sy[[#This Row],[Date]],RD[#All],W$1,0)/W$2</f>
        <v>5.5369986689515649</v>
      </c>
      <c r="X25" s="1">
        <f>VLOOKUP(Inv_Sy[[#This Row],[Date]],RD[#All],X$1,0)/X$2</f>
        <v>5.4528697382694302</v>
      </c>
      <c r="Y25" s="1">
        <f>VLOOKUP(Inv_Sy[[#This Row],[Date]],RD[#All],Y$1,0)/Y$2</f>
        <v>5.2860267114149329</v>
      </c>
      <c r="Z25" s="1">
        <f>VLOOKUP(Inv_Sy[[#This Row],[Date]],RD[#All],Z$1,0)/Z$2</f>
        <v>5.2172846360942344</v>
      </c>
      <c r="AA25" s="1">
        <f t="shared" si="1"/>
        <v>5.4800535534074353</v>
      </c>
      <c r="AB25" s="1">
        <f>MAX(Inv_Sy[[#This Row],[G1 Inv1]:[IS1_Inv2]])</f>
        <v>5.7093290431524419</v>
      </c>
      <c r="AC25"/>
    </row>
    <row r="26" spans="1:29" ht="15" customHeight="1" x14ac:dyDescent="0.2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45859</v>
      </c>
      <c r="F26" s="1">
        <f>VLOOKUP(Inv_Sy[[#This Row],[Date]],RD[#All],F$1,0)/F$2</f>
        <v>4.7405133928571423</v>
      </c>
      <c r="G26" s="1">
        <f>VLOOKUP(Inv_Sy[[#This Row],[Date]],RD[#All],G$1,0)/G$2</f>
        <v>4.659830729166667</v>
      </c>
      <c r="H26" s="1">
        <f>VLOOKUP(Inv_Sy[[#This Row],[Date]],RD[#All],H$1,0)/H$2</f>
        <v>4.74609375</v>
      </c>
      <c r="I26" s="1">
        <f>VLOOKUP(Inv_Sy[[#This Row],[Date]],RD[#All],I$1,0)/I$2</f>
        <v>4.8091168091168095</v>
      </c>
      <c r="J26" s="1">
        <f>VLOOKUP(Inv_Sy[[#This Row],[Date]],RD[#All],J$1,0)/J$2</f>
        <v>4.8269230769230766</v>
      </c>
      <c r="K26" s="1">
        <f>VLOOKUP(Inv_Sy[[#This Row],[Date]],RD[#All],K$1,0)/K$2</f>
        <v>4.7549857549857553</v>
      </c>
      <c r="L26" s="1">
        <f>VLOOKUP(Inv_Sy[[#This Row],[Date]],RD[#All],L$1,0)/L$2</f>
        <v>4.9451718494271688</v>
      </c>
      <c r="M26" s="1">
        <f>VLOOKUP(Inv_Sy[[#This Row],[Date]],RD[#All],M$1,0)/M$2</f>
        <v>4.8856026785714279</v>
      </c>
      <c r="N26" s="1">
        <f>VLOOKUP(Inv_Sy[[#This Row],[Date]],RD[#All],N$1,0)/N$2</f>
        <v>4.1031096563011458</v>
      </c>
      <c r="O26" s="1">
        <f>VLOOKUP(Inv_Sy[[#This Row],[Date]],RD[#All],O$1,0)/O$2</f>
        <v>4.9330357142857144</v>
      </c>
      <c r="P26" s="1">
        <f>AVERAGEIFS(Inv_Sy[[#This Row],[G1 Inv1]:[G5 Inv10]],Inv_Sy[[#This Row],[G1 Inv1]:[G5 Inv10]],"&lt;&gt;"&amp;0)</f>
        <v>4.7404383411634914</v>
      </c>
      <c r="Q26" s="1">
        <f>VLOOKUP(Inv_Sy[[#This Row],[Date]],RD[#All],Q$1,0)/Q$2</f>
        <v>5.4134668705573956</v>
      </c>
      <c r="R26" s="1">
        <f>VLOOKUP(Inv_Sy[[#This Row],[Date]],RD[#All],R$1,0)/R$2</f>
        <v>5.2939057536758689</v>
      </c>
      <c r="S26" s="1">
        <f>VLOOKUP(Inv_Sy[[#This Row],[Date]],RD[#All],S$1,0)/S$2</f>
        <v>5.5936453795843954</v>
      </c>
      <c r="T26" s="1">
        <f>VLOOKUP(Inv_Sy[[#This Row],[Date]],RD[#All],T$1,0)/T$2</f>
        <v>5.4377406093463581</v>
      </c>
      <c r="U26" s="1">
        <f>VLOOKUP(Inv_Sy[[#This Row],[Date]],RD[#All],U$1,0)/U$2</f>
        <v>5.3966385189996746</v>
      </c>
      <c r="V26" s="1">
        <f>VLOOKUP(Inv_Sy[[#This Row],[Date]],RD[#All],V$1,0)/V$2</f>
        <v>5.4793362842965809</v>
      </c>
      <c r="W26" s="1">
        <f>VLOOKUP(Inv_Sy[[#This Row],[Date]],RD[#All],W$1,0)/W$2</f>
        <v>5.3570018439294831</v>
      </c>
      <c r="X26" s="1">
        <f>VLOOKUP(Inv_Sy[[#This Row],[Date]],RD[#All],X$1,0)/X$2</f>
        <v>5.34977611392498</v>
      </c>
      <c r="Y26" s="1">
        <f>VLOOKUP(Inv_Sy[[#This Row],[Date]],RD[#All],Y$1,0)/Y$2</f>
        <v>5.1498562645282844</v>
      </c>
      <c r="Z26" s="1">
        <f>VLOOKUP(Inv_Sy[[#This Row],[Date]],RD[#All],Z$1,0)/Z$2</f>
        <v>5.1389704885434071</v>
      </c>
      <c r="AA26" s="1">
        <f t="shared" si="1"/>
        <v>5.3610338127386417</v>
      </c>
      <c r="AB26" s="1">
        <f>MAX(Inv_Sy[[#This Row],[G1 Inv1]:[IS1_Inv2]])</f>
        <v>5.5936453795843954</v>
      </c>
      <c r="AC26"/>
    </row>
    <row r="27" spans="1:29" ht="15" customHeight="1" x14ac:dyDescent="0.2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45860</v>
      </c>
      <c r="F27" s="1">
        <f>VLOOKUP(Inv_Sy[[#This Row],[Date]],RD[#All],F$1,0)/F$2</f>
        <v>3.1724330357142856</v>
      </c>
      <c r="G27" s="1">
        <f>VLOOKUP(Inv_Sy[[#This Row],[Date]],RD[#All],G$1,0)/G$2</f>
        <v>3.2405598958333335</v>
      </c>
      <c r="H27" s="1">
        <f>VLOOKUP(Inv_Sy[[#This Row],[Date]],RD[#All],H$1,0)/H$2</f>
        <v>3.175223214285714</v>
      </c>
      <c r="I27" s="1">
        <f>VLOOKUP(Inv_Sy[[#This Row],[Date]],RD[#All],I$1,0)/I$2</f>
        <v>3.2348392348392347</v>
      </c>
      <c r="J27" s="1">
        <f>VLOOKUP(Inv_Sy[[#This Row],[Date]],RD[#All],J$1,0)/J$2</f>
        <v>3.1738782051282053</v>
      </c>
      <c r="K27" s="1">
        <f>VLOOKUP(Inv_Sy[[#This Row],[Date]],RD[#All],K$1,0)/K$2</f>
        <v>3.1433998100664766</v>
      </c>
      <c r="L27" s="1">
        <f>VLOOKUP(Inv_Sy[[#This Row],[Date]],RD[#All],L$1,0)/L$2</f>
        <v>3.3126022913256956</v>
      </c>
      <c r="M27" s="1">
        <f>VLOOKUP(Inv_Sy[[#This Row],[Date]],RD[#All],M$1,0)/M$2</f>
        <v>3.3045014880952381</v>
      </c>
      <c r="N27" s="1">
        <f>VLOOKUP(Inv_Sy[[#This Row],[Date]],RD[#All],N$1,0)/N$2</f>
        <v>3.279050736497545</v>
      </c>
      <c r="O27" s="1">
        <f>VLOOKUP(Inv_Sy[[#This Row],[Date]],RD[#All],O$1,0)/O$2</f>
        <v>3.2831101190476191</v>
      </c>
      <c r="P27" s="1">
        <f>AVERAGEIFS(Inv_Sy[[#This Row],[G1 Inv1]:[G5 Inv10]],Inv_Sy[[#This Row],[G1 Inv1]:[G5 Inv10]],"&lt;&gt;"&amp;0)</f>
        <v>3.2319598030833347</v>
      </c>
      <c r="Q27" s="1">
        <f>VLOOKUP(Inv_Sy[[#This Row],[Date]],RD[#All],Q$1,0)/Q$2</f>
        <v>3.6168478717504917</v>
      </c>
      <c r="R27" s="1">
        <f>VLOOKUP(Inv_Sy[[#This Row],[Date]],RD[#All],R$1,0)/R$2</f>
        <v>3.5713233127026238</v>
      </c>
      <c r="S27" s="1">
        <f>VLOOKUP(Inv_Sy[[#This Row],[Date]],RD[#All],S$1,0)/S$2</f>
        <v>3.7697584252907839</v>
      </c>
      <c r="T27" s="1">
        <f>VLOOKUP(Inv_Sy[[#This Row],[Date]],RD[#All],T$1,0)/T$2</f>
        <v>3.6938816334695512</v>
      </c>
      <c r="U27" s="1">
        <f>VLOOKUP(Inv_Sy[[#This Row],[Date]],RD[#All],U$1,0)/U$2</f>
        <v>3.6311302370899643</v>
      </c>
      <c r="V27" s="1">
        <f>VLOOKUP(Inv_Sy[[#This Row],[Date]],RD[#All],V$1,0)/V$2</f>
        <v>3.6522772343505516</v>
      </c>
      <c r="W27" s="1">
        <f>VLOOKUP(Inv_Sy[[#This Row],[Date]],RD[#All],W$1,0)/W$2</f>
        <v>3.5687565890967998</v>
      </c>
      <c r="X27" s="1">
        <f>VLOOKUP(Inv_Sy[[#This Row],[Date]],RD[#All],X$1,0)/X$2</f>
        <v>3.5474320389537302</v>
      </c>
      <c r="Y27" s="1">
        <f>VLOOKUP(Inv_Sy[[#This Row],[Date]],RD[#All],Y$1,0)/Y$2</f>
        <v>3.4065994525672934</v>
      </c>
      <c r="Z27" s="1">
        <f>VLOOKUP(Inv_Sy[[#This Row],[Date]],RD[#All],Z$1,0)/Z$2</f>
        <v>3.4209659820903995</v>
      </c>
      <c r="AA27" s="1">
        <f t="shared" si="1"/>
        <v>3.5878972777362192</v>
      </c>
      <c r="AB27" s="1">
        <f>MAX(Inv_Sy[[#This Row],[G1 Inv1]:[IS1_Inv2]])</f>
        <v>3.7697584252907839</v>
      </c>
      <c r="AC27"/>
    </row>
    <row r="28" spans="1:29" ht="15" customHeight="1" x14ac:dyDescent="0.2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45861</v>
      </c>
      <c r="F28" s="1">
        <f>VLOOKUP(Inv_Sy[[#This Row],[Date]],RD[#All],F$1,0)/F$2</f>
        <v>2.180989583333333</v>
      </c>
      <c r="G28" s="1">
        <f>VLOOKUP(Inv_Sy[[#This Row],[Date]],RD[#All],G$1,0)/G$2</f>
        <v>2.17041015625</v>
      </c>
      <c r="H28" s="1">
        <f>VLOOKUP(Inv_Sy[[#This Row],[Date]],RD[#All],H$1,0)/H$2</f>
        <v>2.1968005952380953</v>
      </c>
      <c r="I28" s="1">
        <f>VLOOKUP(Inv_Sy[[#This Row],[Date]],RD[#All],I$1,0)/I$2</f>
        <v>2.1782661782661781</v>
      </c>
      <c r="J28" s="1">
        <f>VLOOKUP(Inv_Sy[[#This Row],[Date]],RD[#All],J$1,0)/J$2</f>
        <v>2.1899038461538463</v>
      </c>
      <c r="K28" s="1">
        <f>VLOOKUP(Inv_Sy[[#This Row],[Date]],RD[#All],K$1,0)/K$2</f>
        <v>2.1899335232668564</v>
      </c>
      <c r="L28" s="1">
        <f>VLOOKUP(Inv_Sy[[#This Row],[Date]],RD[#All],L$1,0)/L$2</f>
        <v>2.2217675941080195</v>
      </c>
      <c r="M28" s="1">
        <f>VLOOKUP(Inv_Sy[[#This Row],[Date]],RD[#All],M$1,0)/M$2</f>
        <v>2.2209821428571428</v>
      </c>
      <c r="N28" s="1">
        <f>VLOOKUP(Inv_Sy[[#This Row],[Date]],RD[#All],N$1,0)/N$2</f>
        <v>2.2127659574468086</v>
      </c>
      <c r="O28" s="1">
        <f>VLOOKUP(Inv_Sy[[#This Row],[Date]],RD[#All],O$1,0)/O$2</f>
        <v>2.2237723214285712</v>
      </c>
      <c r="P28" s="1">
        <f>AVERAGEIFS(Inv_Sy[[#This Row],[G1 Inv1]:[G5 Inv10]],Inv_Sy[[#This Row],[G1 Inv1]:[G5 Inv10]],"&lt;&gt;"&amp;0)</f>
        <v>2.1985591898348851</v>
      </c>
      <c r="Q28" s="1">
        <f>VLOOKUP(Inv_Sy[[#This Row],[Date]],RD[#All],Q$1,0)/Q$2</f>
        <v>2.4274479490497236</v>
      </c>
      <c r="R28" s="1">
        <f>VLOOKUP(Inv_Sy[[#This Row],[Date]],RD[#All],R$1,0)/R$2</f>
        <v>2.3736778334479487</v>
      </c>
      <c r="S28" s="1">
        <f>VLOOKUP(Inv_Sy[[#This Row],[Date]],RD[#All],S$1,0)/S$2</f>
        <v>2.5195011404544174</v>
      </c>
      <c r="T28" s="1">
        <f>VLOOKUP(Inv_Sy[[#This Row],[Date]],RD[#All],T$1,0)/T$2</f>
        <v>2.4503676245453168</v>
      </c>
      <c r="U28" s="1">
        <f>VLOOKUP(Inv_Sy[[#This Row],[Date]],RD[#All],U$1,0)/U$2</f>
        <v>2.4307405001623898</v>
      </c>
      <c r="V28" s="1">
        <f>VLOOKUP(Inv_Sy[[#This Row],[Date]],RD[#All],V$1,0)/V$2</f>
        <v>2.4590616606280702</v>
      </c>
      <c r="W28" s="1">
        <f>VLOOKUP(Inv_Sy[[#This Row],[Date]],RD[#All],W$1,0)/W$2</f>
        <v>2.4124133495609983</v>
      </c>
      <c r="X28" s="1">
        <f>VLOOKUP(Inv_Sy[[#This Row],[Date]],RD[#All],X$1,0)/X$2</f>
        <v>2.402717626236675</v>
      </c>
      <c r="Y28" s="1">
        <f>VLOOKUP(Inv_Sy[[#This Row],[Date]],RD[#All],Y$1,0)/Y$2</f>
        <v>2.4493487201353443</v>
      </c>
      <c r="Z28" s="1">
        <f>VLOOKUP(Inv_Sy[[#This Row],[Date]],RD[#All],Z$1,0)/Z$2</f>
        <v>2.4777744061876565</v>
      </c>
      <c r="AA28" s="1">
        <f t="shared" si="1"/>
        <v>2.440305081040854</v>
      </c>
      <c r="AB28" s="1">
        <f>MAX(Inv_Sy[[#This Row],[G1 Inv1]:[IS1_Inv2]])</f>
        <v>2.5195011404544174</v>
      </c>
      <c r="AC28"/>
    </row>
    <row r="29" spans="1:29" ht="15" customHeight="1" x14ac:dyDescent="0.2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45862</v>
      </c>
      <c r="F29" s="1">
        <f>VLOOKUP(Inv_Sy[[#This Row],[Date]],RD[#All],F$1,0)/F$2</f>
        <v>2.6116071428571428</v>
      </c>
      <c r="G29" s="1">
        <f>VLOOKUP(Inv_Sy[[#This Row],[Date]],RD[#All],G$1,0)/G$2</f>
        <v>2.574869791666667</v>
      </c>
      <c r="H29" s="1">
        <f>VLOOKUP(Inv_Sy[[#This Row],[Date]],RD[#All],H$1,0)/H$2</f>
        <v>2.6329985119047619</v>
      </c>
      <c r="I29" s="1">
        <f>VLOOKUP(Inv_Sy[[#This Row],[Date]],RD[#All],I$1,0)/I$2</f>
        <v>2.5624745624745624</v>
      </c>
      <c r="J29" s="1">
        <f>VLOOKUP(Inv_Sy[[#This Row],[Date]],RD[#All],J$1,0)/J$2</f>
        <v>2.5905448717948718</v>
      </c>
      <c r="K29" s="1">
        <f>VLOOKUP(Inv_Sy[[#This Row],[Date]],RD[#All],K$1,0)/K$2</f>
        <v>2.5916429249762585</v>
      </c>
      <c r="L29" s="1">
        <f>VLOOKUP(Inv_Sy[[#This Row],[Date]],RD[#All],L$1,0)/L$2</f>
        <v>2.6677577741407528</v>
      </c>
      <c r="M29" s="1">
        <f>VLOOKUP(Inv_Sy[[#This Row],[Date]],RD[#All],M$1,0)/M$2</f>
        <v>2.6581101190476191</v>
      </c>
      <c r="N29" s="1">
        <f>VLOOKUP(Inv_Sy[[#This Row],[Date]],RD[#All],N$1,0)/N$2</f>
        <v>2.6513911620294599</v>
      </c>
      <c r="O29" s="1">
        <f>VLOOKUP(Inv_Sy[[#This Row],[Date]],RD[#All],O$1,0)/O$2</f>
        <v>2.6255580357142856</v>
      </c>
      <c r="P29" s="1">
        <f>AVERAGEIFS(Inv_Sy[[#This Row],[G1 Inv1]:[G5 Inv10]],Inv_Sy[[#This Row],[G1 Inv1]:[G5 Inv10]],"&lt;&gt;"&amp;0)</f>
        <v>2.6166954896606383</v>
      </c>
      <c r="Q29" s="1">
        <f>VLOOKUP(Inv_Sy[[#This Row],[Date]],RD[#All],Q$1,0)/Q$2</f>
        <v>2.9901359458233214</v>
      </c>
      <c r="R29" s="1">
        <f>VLOOKUP(Inv_Sy[[#This Row],[Date]],RD[#All],R$1,0)/R$2</f>
        <v>2.9144971673707309</v>
      </c>
      <c r="S29" s="1">
        <f>VLOOKUP(Inv_Sy[[#This Row],[Date]],RD[#All],S$1,0)/S$2</f>
        <v>3.0721279661266134</v>
      </c>
      <c r="T29" s="1">
        <f>VLOOKUP(Inv_Sy[[#This Row],[Date]],RD[#All],T$1,0)/T$2</f>
        <v>2.984025376503872</v>
      </c>
      <c r="U29" s="1">
        <f>VLOOKUP(Inv_Sy[[#This Row],[Date]],RD[#All],U$1,0)/U$2</f>
        <v>2.9706073400454689</v>
      </c>
      <c r="V29" s="1">
        <f>VLOOKUP(Inv_Sy[[#This Row],[Date]],RD[#All],V$1,0)/V$2</f>
        <v>3.0185174338334355</v>
      </c>
      <c r="W29" s="1">
        <f>VLOOKUP(Inv_Sy[[#This Row],[Date]],RD[#All],W$1,0)/W$2</f>
        <v>2.9634755424938231</v>
      </c>
      <c r="X29" s="1">
        <f>VLOOKUP(Inv_Sy[[#This Row],[Date]],RD[#All],X$1,0)/X$2</f>
        <v>2.9491790843915928</v>
      </c>
      <c r="Y29" s="1">
        <f>VLOOKUP(Inv_Sy[[#This Row],[Date]],RD[#All],Y$1,0)/Y$2</f>
        <v>2.9003617457326376</v>
      </c>
      <c r="Z29" s="1">
        <f>VLOOKUP(Inv_Sy[[#This Row],[Date]],RD[#All],Z$1,0)/Z$2</f>
        <v>2.9022073872256899</v>
      </c>
      <c r="AA29" s="1">
        <f t="shared" si="1"/>
        <v>2.9665134989547184</v>
      </c>
      <c r="AB29" s="1">
        <f>MAX(Inv_Sy[[#This Row],[G1 Inv1]:[IS1_Inv2]])</f>
        <v>3.0721279661266134</v>
      </c>
      <c r="AC29"/>
    </row>
    <row r="30" spans="1:29" ht="15" customHeight="1" x14ac:dyDescent="0.2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45863</v>
      </c>
      <c r="F30" s="1">
        <f>VLOOKUP(Inv_Sy[[#This Row],[Date]],RD[#All],F$1,0)/F$2</f>
        <v>1.3309151785714286</v>
      </c>
      <c r="G30" s="1">
        <f>VLOOKUP(Inv_Sy[[#This Row],[Date]],RD[#All],G$1,0)/G$2</f>
        <v>1.3289388020833335</v>
      </c>
      <c r="H30" s="1">
        <f>VLOOKUP(Inv_Sy[[#This Row],[Date]],RD[#All],H$1,0)/H$2</f>
        <v>1.3244047619047619</v>
      </c>
      <c r="I30" s="1">
        <f>VLOOKUP(Inv_Sy[[#This Row],[Date]],RD[#All],I$1,0)/I$2</f>
        <v>1.3015873015873016</v>
      </c>
      <c r="J30" s="1">
        <f>VLOOKUP(Inv_Sy[[#This Row],[Date]],RD[#All],J$1,0)/J$2</f>
        <v>1.3197115384615385</v>
      </c>
      <c r="K30" s="1">
        <f>VLOOKUP(Inv_Sy[[#This Row],[Date]],RD[#All],K$1,0)/K$2</f>
        <v>1.328584995251662</v>
      </c>
      <c r="L30" s="1">
        <f>VLOOKUP(Inv_Sy[[#This Row],[Date]],RD[#All],L$1,0)/L$2</f>
        <v>1.3314238952536825</v>
      </c>
      <c r="M30" s="1">
        <f>VLOOKUP(Inv_Sy[[#This Row],[Date]],RD[#All],M$1,0)/M$2</f>
        <v>1.3504464285714286</v>
      </c>
      <c r="N30" s="1">
        <f>VLOOKUP(Inv_Sy[[#This Row],[Date]],RD[#All],N$1,0)/N$2</f>
        <v>1.3510638297872339</v>
      </c>
      <c r="O30" s="1">
        <f>VLOOKUP(Inv_Sy[[#This Row],[Date]],RD[#All],O$1,0)/O$2</f>
        <v>1.353236607142857</v>
      </c>
      <c r="P30" s="1">
        <f>AVERAGEIFS(Inv_Sy[[#This Row],[G1 Inv1]:[G5 Inv10]],Inv_Sy[[#This Row],[G1 Inv1]:[G5 Inv10]],"&lt;&gt;"&amp;0)</f>
        <v>1.3320313338615228</v>
      </c>
      <c r="Q30" s="1">
        <f>VLOOKUP(Inv_Sy[[#This Row],[Date]],RD[#All],Q$1,0)/Q$2</f>
        <v>1.484985464383539</v>
      </c>
      <c r="R30" s="1">
        <f>VLOOKUP(Inv_Sy[[#This Row],[Date]],RD[#All],R$1,0)/R$2</f>
        <v>1.443249173134231</v>
      </c>
      <c r="S30" s="1">
        <f>VLOOKUP(Inv_Sy[[#This Row],[Date]],RD[#All],S$1,0)/S$2</f>
        <v>1.5202698445369502</v>
      </c>
      <c r="T30" s="1">
        <f>VLOOKUP(Inv_Sy[[#This Row],[Date]],RD[#All],T$1,0)/T$2</f>
        <v>1.477519993794677</v>
      </c>
      <c r="U30" s="1">
        <f>VLOOKUP(Inv_Sy[[#This Row],[Date]],RD[#All],U$1,0)/U$2</f>
        <v>1.4715816823644039</v>
      </c>
      <c r="V30" s="1">
        <f>VLOOKUP(Inv_Sy[[#This Row],[Date]],RD[#All],V$1,0)/V$2</f>
        <v>1.4943644411717947</v>
      </c>
      <c r="W30" s="1">
        <f>VLOOKUP(Inv_Sy[[#This Row],[Date]],RD[#All],W$1,0)/W$2</f>
        <v>1.4797025289920258</v>
      </c>
      <c r="X30" s="1">
        <f>VLOOKUP(Inv_Sy[[#This Row],[Date]],RD[#All],X$1,0)/X$2</f>
        <v>1.4743040772549691</v>
      </c>
      <c r="Y30" s="1">
        <f>VLOOKUP(Inv_Sy[[#This Row],[Date]],RD[#All],Y$1,0)/Y$2</f>
        <v>1.443681828810365</v>
      </c>
      <c r="Z30" s="1">
        <f>VLOOKUP(Inv_Sy[[#This Row],[Date]],RD[#All],Z$1,0)/Z$2</f>
        <v>1.4504580699726897</v>
      </c>
      <c r="AA30" s="1">
        <f t="shared" si="1"/>
        <v>1.4740117104415646</v>
      </c>
      <c r="AB30" s="1">
        <f>MAX(Inv_Sy[[#This Row],[G1 Inv1]:[IS1_Inv2]])</f>
        <v>1.5202698445369502</v>
      </c>
      <c r="AC30"/>
    </row>
    <row r="31" spans="1:29" ht="15" customHeight="1" x14ac:dyDescent="0.2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45864</v>
      </c>
      <c r="F31" s="1">
        <f>VLOOKUP(Inv_Sy[[#This Row],[Date]],RD[#All],F$1,0)/F$2</f>
        <v>0.94866071428571419</v>
      </c>
      <c r="G31" s="1">
        <f>VLOOKUP(Inv_Sy[[#This Row],[Date]],RD[#All],G$1,0)/G$2</f>
        <v>0.94156901041666674</v>
      </c>
      <c r="H31" s="1">
        <f>VLOOKUP(Inv_Sy[[#This Row],[Date]],RD[#All],H$1,0)/H$2</f>
        <v>0.93843005952380953</v>
      </c>
      <c r="I31" s="1">
        <f>VLOOKUP(Inv_Sy[[#This Row],[Date]],RD[#All],I$1,0)/I$2</f>
        <v>0.9263329263329263</v>
      </c>
      <c r="J31" s="1">
        <f>VLOOKUP(Inv_Sy[[#This Row],[Date]],RD[#All],J$1,0)/J$2</f>
        <v>0.24038461538461539</v>
      </c>
      <c r="K31" s="1">
        <f>VLOOKUP(Inv_Sy[[#This Row],[Date]],RD[#All],K$1,0)/K$2</f>
        <v>0.28490028490028491</v>
      </c>
      <c r="L31" s="1">
        <f>VLOOKUP(Inv_Sy[[#This Row],[Date]],RD[#All],L$1,0)/L$2</f>
        <v>1.1399345335515547</v>
      </c>
      <c r="M31" s="1">
        <f>VLOOKUP(Inv_Sy[[#This Row],[Date]],RD[#All],M$1,0)/M$2</f>
        <v>1.1635044642857142</v>
      </c>
      <c r="N31" s="1">
        <f>VLOOKUP(Inv_Sy[[#This Row],[Date]],RD[#All],N$1,0)/N$2</f>
        <v>1.1415711947626841</v>
      </c>
      <c r="O31" s="1">
        <f>VLOOKUP(Inv_Sy[[#This Row],[Date]],RD[#All],O$1,0)/O$2</f>
        <v>1.1365327380952381</v>
      </c>
      <c r="P31" s="1">
        <f>AVERAGEIFS(Inv_Sy[[#This Row],[G1 Inv1]:[G5 Inv10]],Inv_Sy[[#This Row],[G1 Inv1]:[G5 Inv10]],"&lt;&gt;"&amp;0)</f>
        <v>0.88618205415392093</v>
      </c>
      <c r="Q31" s="1">
        <f>VLOOKUP(Inv_Sy[[#This Row],[Date]],RD[#All],Q$1,0)/Q$2</f>
        <v>1.2731687643885801</v>
      </c>
      <c r="R31" s="1">
        <f>VLOOKUP(Inv_Sy[[#This Row],[Date]],RD[#All],R$1,0)/R$2</f>
        <v>1.2417722762550349</v>
      </c>
      <c r="S31" s="1">
        <f>VLOOKUP(Inv_Sy[[#This Row],[Date]],RD[#All],S$1,0)/S$2</f>
        <v>1.3150300550694562</v>
      </c>
      <c r="T31" s="1">
        <f>VLOOKUP(Inv_Sy[[#This Row],[Date]],RD[#All],T$1,0)/T$2</f>
        <v>1.2785414225702283</v>
      </c>
      <c r="U31" s="1">
        <f>VLOOKUP(Inv_Sy[[#This Row],[Date]],RD[#All],U$1,0)/U$2</f>
        <v>1.2714355310165637</v>
      </c>
      <c r="V31" s="1">
        <f>VLOOKUP(Inv_Sy[[#This Row],[Date]],RD[#All],V$1,0)/V$2</f>
        <v>1.2856772293300087</v>
      </c>
      <c r="W31" s="1">
        <f>VLOOKUP(Inv_Sy[[#This Row],[Date]],RD[#All],W$1,0)/W$2</f>
        <v>1.2698283476682228</v>
      </c>
      <c r="X31" s="1">
        <f>VLOOKUP(Inv_Sy[[#This Row],[Date]],RD[#All],X$1,0)/X$2</f>
        <v>1.2662409160977759</v>
      </c>
      <c r="Y31" s="1">
        <f>VLOOKUP(Inv_Sy[[#This Row],[Date]],RD[#All],Y$1,0)/Y$2</f>
        <v>1.2863980853609889</v>
      </c>
      <c r="Z31" s="1">
        <f>VLOOKUP(Inv_Sy[[#This Row],[Date]],RD[#All],Z$1,0)/Z$2</f>
        <v>1.3071296218582336</v>
      </c>
      <c r="AA31" s="1">
        <f t="shared" si="1"/>
        <v>1.2795222249615095</v>
      </c>
      <c r="AB31" s="1">
        <f>MAX(Inv_Sy[[#This Row],[G1 Inv1]:[IS1_Inv2]])</f>
        <v>1.3150300550694562</v>
      </c>
      <c r="AC31"/>
    </row>
    <row r="32" spans="1:29" ht="15" customHeight="1" x14ac:dyDescent="0.2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45865</v>
      </c>
      <c r="F32" s="1">
        <f>VLOOKUP(Inv_Sy[[#This Row],[Date]],RD[#All],F$1,0)/F$2</f>
        <v>2.4042038690476191</v>
      </c>
      <c r="G32" s="1">
        <f>VLOOKUP(Inv_Sy[[#This Row],[Date]],RD[#All],G$1,0)/G$2</f>
        <v>1.1271158854166667</v>
      </c>
      <c r="H32" s="1">
        <f>VLOOKUP(Inv_Sy[[#This Row],[Date]],RD[#All],H$1,0)/H$2</f>
        <v>2.4051339285714284</v>
      </c>
      <c r="I32" s="1">
        <f>VLOOKUP(Inv_Sy[[#This Row],[Date]],RD[#All],I$1,0)/I$2</f>
        <v>2.3866503866503868</v>
      </c>
      <c r="J32" s="1">
        <f>VLOOKUP(Inv_Sy[[#This Row],[Date]],RD[#All],J$1,0)/J$2</f>
        <v>0.24679487179487181</v>
      </c>
      <c r="K32" s="1">
        <f>VLOOKUP(Inv_Sy[[#This Row],[Date]],RD[#All],K$1,0)/K$2</f>
        <v>0.24881291547958215</v>
      </c>
      <c r="L32" s="1">
        <f>VLOOKUP(Inv_Sy[[#This Row],[Date]],RD[#All],L$1,0)/L$2</f>
        <v>2.4615384615384617</v>
      </c>
      <c r="M32" s="1">
        <f>VLOOKUP(Inv_Sy[[#This Row],[Date]],RD[#All],M$1,0)/M$2</f>
        <v>2.4237351190476191</v>
      </c>
      <c r="N32" s="1">
        <f>VLOOKUP(Inv_Sy[[#This Row],[Date]],RD[#All],N$1,0)/N$2</f>
        <v>2.4639934533551555</v>
      </c>
      <c r="O32" s="1">
        <f>VLOOKUP(Inv_Sy[[#This Row],[Date]],RD[#All],O$1,0)/O$2</f>
        <v>2.4600074404761902</v>
      </c>
      <c r="P32" s="1">
        <f>AVERAGEIFS(Inv_Sy[[#This Row],[G1 Inv1]:[G5 Inv10]],Inv_Sy[[#This Row],[G1 Inv1]:[G5 Inv10]],"&lt;&gt;"&amp;0)</f>
        <v>1.8627986331377979</v>
      </c>
      <c r="Q32" s="1">
        <f>VLOOKUP(Inv_Sy[[#This Row],[Date]],RD[#All],Q$1,0)/Q$2</f>
        <v>2.7184123409904388</v>
      </c>
      <c r="R32" s="1">
        <f>VLOOKUP(Inv_Sy[[#This Row],[Date]],RD[#All],R$1,0)/R$2</f>
        <v>2.6540753839604418</v>
      </c>
      <c r="S32" s="1">
        <f>VLOOKUP(Inv_Sy[[#This Row],[Date]],RD[#All],S$1,0)/S$2</f>
        <v>2.809088350562666</v>
      </c>
      <c r="T32" s="1">
        <f>VLOOKUP(Inv_Sy[[#This Row],[Date]],RD[#All],T$1,0)/T$2</f>
        <v>2.7343427869247319</v>
      </c>
      <c r="U32" s="1">
        <f>VLOOKUP(Inv_Sy[[#This Row],[Date]],RD[#All],U$1,0)/U$2</f>
        <v>2.7098895745371872</v>
      </c>
      <c r="V32" s="1">
        <f>VLOOKUP(Inv_Sy[[#This Row],[Date]],RD[#All],V$1,0)/V$2</f>
        <v>2.7405467370658276</v>
      </c>
      <c r="W32" s="1">
        <f>VLOOKUP(Inv_Sy[[#This Row],[Date]],RD[#All],W$1,0)/W$2</f>
        <v>2.6932767807352112</v>
      </c>
      <c r="X32" s="1">
        <f>VLOOKUP(Inv_Sy[[#This Row],[Date]],RD[#All],X$1,0)/X$2</f>
        <v>2.6843491807156199</v>
      </c>
      <c r="Y32" s="1">
        <f>VLOOKUP(Inv_Sy[[#This Row],[Date]],RD[#All],Y$1,0)/Y$2</f>
        <v>2.5184655378732645</v>
      </c>
      <c r="Z32" s="1">
        <f>VLOOKUP(Inv_Sy[[#This Row],[Date]],RD[#All],Z$1,0)/Z$2</f>
        <v>2.7507440812452786</v>
      </c>
      <c r="AA32" s="1">
        <f t="shared" si="1"/>
        <v>2.701319075461067</v>
      </c>
      <c r="AB32" s="1">
        <f>MAX(Inv_Sy[[#This Row],[G1 Inv1]:[IS1_Inv2]])</f>
        <v>2.809088350562666</v>
      </c>
      <c r="AC32"/>
    </row>
    <row r="33" spans="1:29" ht="15" customHeight="1" x14ac:dyDescent="0.2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45866</v>
      </c>
      <c r="F33" s="1">
        <f>VLOOKUP(Inv_Sy[[#This Row],[Date]],RD[#All],F$1,0)/F$2</f>
        <v>3.6058407738095237</v>
      </c>
      <c r="G33" s="1">
        <f>VLOOKUP(Inv_Sy[[#This Row],[Date]],RD[#All],G$1,0)/G$2</f>
        <v>3.5335286458333335</v>
      </c>
      <c r="H33" s="1">
        <f>VLOOKUP(Inv_Sy[[#This Row],[Date]],RD[#All],H$1,0)/H$2</f>
        <v>3.59375</v>
      </c>
      <c r="I33" s="1">
        <f>VLOOKUP(Inv_Sy[[#This Row],[Date]],RD[#All],I$1,0)/I$2</f>
        <v>3.5856735856735855</v>
      </c>
      <c r="J33" s="1">
        <f>VLOOKUP(Inv_Sy[[#This Row],[Date]],RD[#All],J$1,0)/J$2</f>
        <v>3.6065705128205128</v>
      </c>
      <c r="K33" s="1">
        <f>VLOOKUP(Inv_Sy[[#This Row],[Date]],RD[#All],K$1,0)/K$2</f>
        <v>3.6087369420702755</v>
      </c>
      <c r="L33" s="1">
        <f>VLOOKUP(Inv_Sy[[#This Row],[Date]],RD[#All],L$1,0)/L$2</f>
        <v>3.6685761047463177</v>
      </c>
      <c r="M33" s="1">
        <f>VLOOKUP(Inv_Sy[[#This Row],[Date]],RD[#All],M$1,0)/M$2</f>
        <v>3.6569940476190474</v>
      </c>
      <c r="N33" s="1">
        <f>VLOOKUP(Inv_Sy[[#This Row],[Date]],RD[#All],N$1,0)/N$2</f>
        <v>3.5433715220949265</v>
      </c>
      <c r="O33" s="1">
        <f>VLOOKUP(Inv_Sy[[#This Row],[Date]],RD[#All],O$1,0)/O$2</f>
        <v>3.6597842261904758</v>
      </c>
      <c r="P33" s="1">
        <f>AVERAGEIFS(Inv_Sy[[#This Row],[G1 Inv1]:[G5 Inv10]],Inv_Sy[[#This Row],[G1 Inv1]:[G5 Inv10]],"&lt;&gt;"&amp;0)</f>
        <v>3.6062826360857998</v>
      </c>
      <c r="Q33" s="1">
        <f>VLOOKUP(Inv_Sy[[#This Row],[Date]],RD[#All],Q$1,0)/Q$2</f>
        <v>4.1054294308423938</v>
      </c>
      <c r="R33" s="1">
        <f>VLOOKUP(Inv_Sy[[#This Row],[Date]],RD[#All],R$1,0)/R$2</f>
        <v>3.9845105937059966</v>
      </c>
      <c r="S33" s="1">
        <f>VLOOKUP(Inv_Sy[[#This Row],[Date]],RD[#All],S$1,0)/S$2</f>
        <v>4.2072896670209143</v>
      </c>
      <c r="T33" s="1">
        <f>VLOOKUP(Inv_Sy[[#This Row],[Date]],RD[#All],T$1,0)/T$2</f>
        <v>4.0799996734040684</v>
      </c>
      <c r="U33" s="1">
        <f>VLOOKUP(Inv_Sy[[#This Row],[Date]],RD[#All],U$1,0)/U$2</f>
        <v>4.0542383890873657</v>
      </c>
      <c r="V33" s="1">
        <f>VLOOKUP(Inv_Sy[[#This Row],[Date]],RD[#All],V$1,0)/V$2</f>
        <v>4.1411943870336128</v>
      </c>
      <c r="W33" s="1">
        <f>VLOOKUP(Inv_Sy[[#This Row],[Date]],RD[#All],W$1,0)/W$2</f>
        <v>4.0773229237476132</v>
      </c>
      <c r="X33" s="1">
        <f>VLOOKUP(Inv_Sy[[#This Row],[Date]],RD[#All],X$1,0)/X$2</f>
        <v>4.0842692505321887</v>
      </c>
      <c r="Y33" s="1">
        <f>VLOOKUP(Inv_Sy[[#This Row],[Date]],RD[#All],Y$1,0)/Y$2</f>
        <v>3.9895190019669053</v>
      </c>
      <c r="Z33" s="1">
        <f>VLOOKUP(Inv_Sy[[#This Row],[Date]],RD[#All],Z$1,0)/Z$2</f>
        <v>3.9652912731052554</v>
      </c>
      <c r="AA33" s="1">
        <f t="shared" si="1"/>
        <v>4.0689064590446318</v>
      </c>
      <c r="AB33" s="1">
        <f>MAX(Inv_Sy[[#This Row],[G1 Inv1]:[IS1_Inv2]])</f>
        <v>4.2072896670209143</v>
      </c>
      <c r="AC33"/>
    </row>
    <row r="34" spans="1:29" ht="15" customHeight="1" x14ac:dyDescent="0.2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45867</v>
      </c>
      <c r="F34" s="1">
        <f>VLOOKUP(Inv_Sy[[#This Row],[Date]],RD[#All],F$1,0)/F$2</f>
        <v>2.0535714285714284</v>
      </c>
      <c r="G34" s="1">
        <f>VLOOKUP(Inv_Sy[[#This Row],[Date]],RD[#All],G$1,0)/G$2</f>
        <v>2.032877604166667</v>
      </c>
      <c r="H34" s="1">
        <f>VLOOKUP(Inv_Sy[[#This Row],[Date]],RD[#All],H$1,0)/H$2</f>
        <v>2.0972842261904763</v>
      </c>
      <c r="I34" s="1">
        <f>VLOOKUP(Inv_Sy[[#This Row],[Date]],RD[#All],I$1,0)/I$2</f>
        <v>2.0903540903540905</v>
      </c>
      <c r="J34" s="1">
        <f>VLOOKUP(Inv_Sy[[#This Row],[Date]],RD[#All],J$1,0)/J$2</f>
        <v>2.0865384615384617</v>
      </c>
      <c r="K34" s="1">
        <f>VLOOKUP(Inv_Sy[[#This Row],[Date]],RD[#All],K$1,0)/K$2</f>
        <v>2.1044634377967713</v>
      </c>
      <c r="L34" s="1">
        <f>VLOOKUP(Inv_Sy[[#This Row],[Date]],RD[#All],L$1,0)/L$2</f>
        <v>2.1080196399345335</v>
      </c>
      <c r="M34" s="1">
        <f>VLOOKUP(Inv_Sy[[#This Row],[Date]],RD[#All],M$1,0)/M$2</f>
        <v>2.1168154761904763</v>
      </c>
      <c r="N34" s="1">
        <f>VLOOKUP(Inv_Sy[[#This Row],[Date]],RD[#All],N$1,0)/N$2</f>
        <v>2.078559738134206</v>
      </c>
      <c r="O34" s="1">
        <f>VLOOKUP(Inv_Sy[[#This Row],[Date]],RD[#All],O$1,0)/O$2</f>
        <v>2.0991443452380953</v>
      </c>
      <c r="P34" s="1">
        <f>AVERAGEIFS(Inv_Sy[[#This Row],[G1 Inv1]:[G5 Inv10]],Inv_Sy[[#This Row],[G1 Inv1]:[G5 Inv10]],"&lt;&gt;"&amp;0)</f>
        <v>2.0867628448115201</v>
      </c>
      <c r="Q34" s="1">
        <f>VLOOKUP(Inv_Sy[[#This Row],[Date]],RD[#All],Q$1,0)/Q$2</f>
        <v>2.4147607924851706</v>
      </c>
      <c r="R34" s="1">
        <f>VLOOKUP(Inv_Sy[[#This Row],[Date]],RD[#All],R$1,0)/R$2</f>
        <v>2.3519828404885881</v>
      </c>
      <c r="S34" s="1">
        <f>VLOOKUP(Inv_Sy[[#This Row],[Date]],RD[#All],S$1,0)/S$2</f>
        <v>2.4847204311463771</v>
      </c>
      <c r="T34" s="1">
        <f>VLOOKUP(Inv_Sy[[#This Row],[Date]],RD[#All],T$1,0)/T$2</f>
        <v>2.4141154761564554</v>
      </c>
      <c r="U34" s="1">
        <f>VLOOKUP(Inv_Sy[[#This Row],[Date]],RD[#All],U$1,0)/U$2</f>
        <v>2.3983436180578108</v>
      </c>
      <c r="V34" s="1">
        <f>VLOOKUP(Inv_Sy[[#This Row],[Date]],RD[#All],V$1,0)/V$2</f>
        <v>2.4334568944598316</v>
      </c>
      <c r="W34" s="1">
        <f>VLOOKUP(Inv_Sy[[#This Row],[Date]],RD[#All],W$1,0)/W$2</f>
        <v>2.3932006626748779</v>
      </c>
      <c r="X34" s="1">
        <f>VLOOKUP(Inv_Sy[[#This Row],[Date]],RD[#All],X$1,0)/X$2</f>
        <v>2.3903202916636079</v>
      </c>
      <c r="Y34" s="1">
        <f>VLOOKUP(Inv_Sy[[#This Row],[Date]],RD[#All],Y$1,0)/Y$2</f>
        <v>2.3758304334071489</v>
      </c>
      <c r="Z34" s="1">
        <f>VLOOKUP(Inv_Sy[[#This Row],[Date]],RD[#All],Z$1,0)/Z$2</f>
        <v>2.3891302803943466</v>
      </c>
      <c r="AA34" s="1">
        <f t="shared" si="1"/>
        <v>2.4045861720934214</v>
      </c>
      <c r="AB34" s="1">
        <f>MAX(Inv_Sy[[#This Row],[G1 Inv1]:[IS1_Inv2]])</f>
        <v>2.4847204311463771</v>
      </c>
      <c r="AC34"/>
    </row>
    <row r="35" spans="1:29" ht="15" customHeight="1" x14ac:dyDescent="0.2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45868</v>
      </c>
      <c r="F35" s="1">
        <f>VLOOKUP(Inv_Sy[[#This Row],[Date]],RD[#All],F$1,0)/F$2</f>
        <v>2.2033110119047619</v>
      </c>
      <c r="G35" s="1">
        <f>VLOOKUP(Inv_Sy[[#This Row],[Date]],RD[#All],G$1,0)/G$2</f>
        <v>2.157389322916667</v>
      </c>
      <c r="H35" s="1">
        <f>VLOOKUP(Inv_Sy[[#This Row],[Date]],RD[#All],H$1,0)/H$2</f>
        <v>2.2023809523809521</v>
      </c>
      <c r="I35" s="1">
        <f>VLOOKUP(Inv_Sy[[#This Row],[Date]],RD[#All],I$1,0)/I$2</f>
        <v>2.1994301994301995</v>
      </c>
      <c r="J35" s="1">
        <f>VLOOKUP(Inv_Sy[[#This Row],[Date]],RD[#All],J$1,0)/J$2</f>
        <v>2.2291666666666665</v>
      </c>
      <c r="K35" s="1">
        <f>VLOOKUP(Inv_Sy[[#This Row],[Date]],RD[#All],K$1,0)/K$2</f>
        <v>2.1899335232668564</v>
      </c>
      <c r="L35" s="1">
        <f>VLOOKUP(Inv_Sy[[#This Row],[Date]],RD[#All],L$1,0)/L$2</f>
        <v>2.2348608837970541</v>
      </c>
      <c r="M35" s="1">
        <f>VLOOKUP(Inv_Sy[[#This Row],[Date]],RD[#All],M$1,0)/M$2</f>
        <v>2.2563244047619047</v>
      </c>
      <c r="N35" s="1">
        <f>VLOOKUP(Inv_Sy[[#This Row],[Date]],RD[#All],N$1,0)/N$2</f>
        <v>2.1841243862520456</v>
      </c>
      <c r="O35" s="1">
        <f>VLOOKUP(Inv_Sy[[#This Row],[Date]],RD[#All],O$1,0)/O$2</f>
        <v>2.1977306547619047</v>
      </c>
      <c r="P35" s="1">
        <f>AVERAGEIFS(Inv_Sy[[#This Row],[G1 Inv1]:[G5 Inv10]],Inv_Sy[[#This Row],[G1 Inv1]:[G5 Inv10]],"&lt;&gt;"&amp;0)</f>
        <v>2.2054652006139013</v>
      </c>
      <c r="Q35" s="1">
        <f>VLOOKUP(Inv_Sy[[#This Row],[Date]],RD[#All],Q$1,0)/Q$2</f>
        <v>2.5777613470231397</v>
      </c>
      <c r="R35" s="1">
        <f>VLOOKUP(Inv_Sy[[#This Row],[Date]],RD[#All],R$1,0)/R$2</f>
        <v>2.512280184693978</v>
      </c>
      <c r="S35" s="1">
        <f>VLOOKUP(Inv_Sy[[#This Row],[Date]],RD[#All],S$1,0)/S$2</f>
        <v>2.6493827264211571</v>
      </c>
      <c r="T35" s="1">
        <f>VLOOKUP(Inv_Sy[[#This Row],[Date]],RD[#All],T$1,0)/T$2</f>
        <v>2.5747190254377403</v>
      </c>
      <c r="U35" s="1">
        <f>VLOOKUP(Inv_Sy[[#This Row],[Date]],RD[#All],U$1,0)/U$2</f>
        <v>2.555131536213056</v>
      </c>
      <c r="V35" s="1">
        <f>VLOOKUP(Inv_Sy[[#This Row],[Date]],RD[#All],V$1,0)/V$2</f>
        <v>2.5920223581487587</v>
      </c>
      <c r="W35" s="1">
        <f>VLOOKUP(Inv_Sy[[#This Row],[Date]],RD[#All],W$1,0)/W$2</f>
        <v>2.5494258581598968</v>
      </c>
      <c r="X35" s="1">
        <f>VLOOKUP(Inv_Sy[[#This Row],[Date]],RD[#All],X$1,0)/X$2</f>
        <v>2.5445529211219591</v>
      </c>
      <c r="Y35" s="1">
        <f>VLOOKUP(Inv_Sy[[#This Row],[Date]],RD[#All],Y$1,0)/Y$2</f>
        <v>2.4947388690975605</v>
      </c>
      <c r="Z35" s="1">
        <f>VLOOKUP(Inv_Sy[[#This Row],[Date]],RD[#All],Z$1,0)/Z$2</f>
        <v>2.5152205773166587</v>
      </c>
      <c r="AA35" s="1">
        <f t="shared" si="1"/>
        <v>2.5565235403633904</v>
      </c>
      <c r="AB35" s="1">
        <f>MAX(Inv_Sy[[#This Row],[G1 Inv1]:[IS1_Inv2]])</f>
        <v>2.6493827264211571</v>
      </c>
      <c r="AC35"/>
    </row>
    <row r="36" spans="1:29" ht="15" customHeight="1" x14ac:dyDescent="0.2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45869</v>
      </c>
      <c r="F36" s="1">
        <f>VLOOKUP(Inv_Sy[[#This Row],[Date]],RD[#All],F$1,0)/F$2</f>
        <v>3.4691220238095237</v>
      </c>
      <c r="G36" s="1">
        <f>VLOOKUP(Inv_Sy[[#This Row],[Date]],RD[#All],G$1,0)/G$2</f>
        <v>3.4814453125</v>
      </c>
      <c r="H36" s="1">
        <f>VLOOKUP(Inv_Sy[[#This Row],[Date]],RD[#All],H$1,0)/H$2</f>
        <v>3.4263392857142856</v>
      </c>
      <c r="I36" s="1">
        <f>VLOOKUP(Inv_Sy[[#This Row],[Date]],RD[#All],I$1,0)/I$2</f>
        <v>3.4350834350834352</v>
      </c>
      <c r="J36" s="1">
        <f>VLOOKUP(Inv_Sy[[#This Row],[Date]],RD[#All],J$1,0)/J$2</f>
        <v>3.4799679487179489</v>
      </c>
      <c r="K36" s="1">
        <f>VLOOKUP(Inv_Sy[[#This Row],[Date]],RD[#All],K$1,0)/K$2</f>
        <v>3.3713200379867048</v>
      </c>
      <c r="L36" s="1">
        <f>VLOOKUP(Inv_Sy[[#This Row],[Date]],RD[#All],L$1,0)/L$2</f>
        <v>3.4108019639934533</v>
      </c>
      <c r="M36" s="1">
        <f>VLOOKUP(Inv_Sy[[#This Row],[Date]],RD[#All],M$1,0)/M$2</f>
        <v>3.409598214285714</v>
      </c>
      <c r="N36" s="1">
        <f>VLOOKUP(Inv_Sy[[#This Row],[Date]],RD[#All],N$1,0)/N$2</f>
        <v>3.3379705400981998</v>
      </c>
      <c r="O36" s="1">
        <f>VLOOKUP(Inv_Sy[[#This Row],[Date]],RD[#All],O$1,0)/O$2</f>
        <v>3.4170386904761902</v>
      </c>
      <c r="P36" s="1">
        <f>AVERAGEIFS(Inv_Sy[[#This Row],[G1 Inv1]:[G5 Inv10]],Inv_Sy[[#This Row],[G1 Inv1]:[G5 Inv10]],"&lt;&gt;"&amp;0)</f>
        <v>3.4238687452665459</v>
      </c>
      <c r="Q36" s="1">
        <f>VLOOKUP(Inv_Sy[[#This Row],[Date]],RD[#All],Q$1,0)/Q$2</f>
        <v>3.9231880891965929</v>
      </c>
      <c r="R36" s="1">
        <f>VLOOKUP(Inv_Sy[[#This Row],[Date]],RD[#All],R$1,0)/R$2</f>
        <v>3.8248681926842854</v>
      </c>
      <c r="S36" s="1">
        <f>VLOOKUP(Inv_Sy[[#This Row],[Date]],RD[#All],S$1,0)/S$2</f>
        <v>4.0469119518782843</v>
      </c>
      <c r="T36" s="1">
        <f>VLOOKUP(Inv_Sy[[#This Row],[Date]],RD[#All],T$1,0)/T$2</f>
        <v>3.9327049083286045</v>
      </c>
      <c r="U36" s="1">
        <f>VLOOKUP(Inv_Sy[[#This Row],[Date]],RD[#All],U$1,0)/U$2</f>
        <v>3.9050016239038641</v>
      </c>
      <c r="V36" s="1">
        <f>VLOOKUP(Inv_Sy[[#This Row],[Date]],RD[#All],V$1,0)/V$2</f>
        <v>3.9567731300571505</v>
      </c>
      <c r="W36" s="1">
        <f>VLOOKUP(Inv_Sy[[#This Row],[Date]],RD[#All],W$1,0)/W$2</f>
        <v>3.8768108567962849</v>
      </c>
      <c r="X36" s="1">
        <f>VLOOKUP(Inv_Sy[[#This Row],[Date]],RD[#All],X$1,0)/X$2</f>
        <v>3.8673158955035198</v>
      </c>
      <c r="Y36" s="1">
        <f>VLOOKUP(Inv_Sy[[#This Row],[Date]],RD[#All],Y$1,0)/Y$2</f>
        <v>3.8556868354813405</v>
      </c>
      <c r="Z36" s="1">
        <f>VLOOKUP(Inv_Sy[[#This Row],[Date]],RD[#All],Z$1,0)/Z$2</f>
        <v>3.8852985040900245</v>
      </c>
      <c r="AA36" s="1">
        <f t="shared" ref="AA36:AA65" si="4">IFERROR(AVERAGEIF(Q36:Z36,"&gt;"&amp;0,Q36:Z36),"")</f>
        <v>3.9074559987919955</v>
      </c>
      <c r="AB36" s="1">
        <f>MAX(Inv_Sy[[#This Row],[G1 Inv1]:[IS1_Inv2]])</f>
        <v>4.0469119518782843</v>
      </c>
      <c r="AC36"/>
    </row>
    <row r="37" spans="1:29" ht="15" customHeight="1" x14ac:dyDescent="0.2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45870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2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45871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2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45872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2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45873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2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45874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2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45875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2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45876</v>
      </c>
      <c r="F43" s="1" t="e">
        <f>VLOOKUP(Inv_Sy[[#This Row],[Date]],RD[#All],F$1,0)/F$2</f>
        <v>#N/A</v>
      </c>
      <c r="G43" s="1" t="e">
        <f>VLOOKUP(Inv_Sy[[#This Row],[Date]],RD[#All],G$1,0)/G$2</f>
        <v>#N/A</v>
      </c>
      <c r="H43" s="1" t="e">
        <f>VLOOKUP(Inv_Sy[[#This Row],[Date]],RD[#All],H$1,0)/H$2</f>
        <v>#N/A</v>
      </c>
      <c r="I43" s="1" t="e">
        <f>VLOOKUP(Inv_Sy[[#This Row],[Date]],RD[#All],I$1,0)/I$2</f>
        <v>#N/A</v>
      </c>
      <c r="J43" s="1" t="e">
        <f>VLOOKUP(Inv_Sy[[#This Row],[Date]],RD[#All],J$1,0)/J$2</f>
        <v>#N/A</v>
      </c>
      <c r="K43" s="1" t="e">
        <f>VLOOKUP(Inv_Sy[[#This Row],[Date]],RD[#All],K$1,0)/K$2</f>
        <v>#N/A</v>
      </c>
      <c r="L43" s="1" t="e">
        <f>VLOOKUP(Inv_Sy[[#This Row],[Date]],RD[#All],L$1,0)/L$2</f>
        <v>#N/A</v>
      </c>
      <c r="M43" s="1" t="e">
        <f>VLOOKUP(Inv_Sy[[#This Row],[Date]],RD[#All],M$1,0)/M$2</f>
        <v>#N/A</v>
      </c>
      <c r="N43" s="1" t="e">
        <f>VLOOKUP(Inv_Sy[[#This Row],[Date]],RD[#All],N$1,0)/N$2</f>
        <v>#N/A</v>
      </c>
      <c r="O43" s="1" t="e">
        <f>VLOOKUP(Inv_Sy[[#This Row],[Date]],RD[#All],O$1,0)/O$2</f>
        <v>#N/A</v>
      </c>
      <c r="P43" s="1" t="e">
        <f>AVERAGEIFS(Inv_Sy[[#This Row],[G1 Inv1]:[G5 Inv10]],Inv_Sy[[#This Row],[G1 Inv1]:[G5 Inv10]],"&lt;&gt;"&amp;0)</f>
        <v>#N/A</v>
      </c>
      <c r="Q43" s="1" t="e">
        <f>VLOOKUP(Inv_Sy[[#This Row],[Date]],RD[#All],Q$1,0)/Q$2</f>
        <v>#N/A</v>
      </c>
      <c r="R43" s="1" t="e">
        <f>VLOOKUP(Inv_Sy[[#This Row],[Date]],RD[#All],R$1,0)/R$2</f>
        <v>#N/A</v>
      </c>
      <c r="S43" s="1" t="e">
        <f>VLOOKUP(Inv_Sy[[#This Row],[Date]],RD[#All],S$1,0)/S$2</f>
        <v>#N/A</v>
      </c>
      <c r="T43" s="1" t="e">
        <f>VLOOKUP(Inv_Sy[[#This Row],[Date]],RD[#All],T$1,0)/T$2</f>
        <v>#N/A</v>
      </c>
      <c r="U43" s="1" t="e">
        <f>VLOOKUP(Inv_Sy[[#This Row],[Date]],RD[#All],U$1,0)/U$2</f>
        <v>#N/A</v>
      </c>
      <c r="V43" s="1" t="e">
        <f>VLOOKUP(Inv_Sy[[#This Row],[Date]],RD[#All],V$1,0)/V$2</f>
        <v>#N/A</v>
      </c>
      <c r="W43" s="1" t="e">
        <f>VLOOKUP(Inv_Sy[[#This Row],[Date]],RD[#All],W$1,0)/W$2</f>
        <v>#N/A</v>
      </c>
      <c r="X43" s="1" t="e">
        <f>VLOOKUP(Inv_Sy[[#This Row],[Date]],RD[#All],X$1,0)/X$2</f>
        <v>#N/A</v>
      </c>
      <c r="Y43" s="1" t="e">
        <f>VLOOKUP(Inv_Sy[[#This Row],[Date]],RD[#All],Y$1,0)/Y$2</f>
        <v>#N/A</v>
      </c>
      <c r="Z43" s="1" t="e">
        <f>VLOOKUP(Inv_Sy[[#This Row],[Date]],RD[#All],Z$1,0)/Z$2</f>
        <v>#N/A</v>
      </c>
      <c r="AA43" s="1" t="str">
        <f t="shared" si="4"/>
        <v/>
      </c>
      <c r="AB43" s="1" t="e">
        <f>MAX(Inv_Sy[[#This Row],[G1 Inv1]:[IS1_Inv2]])</f>
        <v>#N/A</v>
      </c>
      <c r="AC43"/>
    </row>
    <row r="44" spans="1:29" ht="15" customHeight="1" x14ac:dyDescent="0.2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45877</v>
      </c>
      <c r="F44" s="1" t="e">
        <f>VLOOKUP(Inv_Sy[[#This Row],[Date]],RD[#All],F$1,0)/F$2</f>
        <v>#N/A</v>
      </c>
      <c r="G44" s="1" t="e">
        <f>VLOOKUP(Inv_Sy[[#This Row],[Date]],RD[#All],G$1,0)/G$2</f>
        <v>#N/A</v>
      </c>
      <c r="H44" s="1" t="e">
        <f>VLOOKUP(Inv_Sy[[#This Row],[Date]],RD[#All],H$1,0)/H$2</f>
        <v>#N/A</v>
      </c>
      <c r="I44" s="1" t="e">
        <f>VLOOKUP(Inv_Sy[[#This Row],[Date]],RD[#All],I$1,0)/I$2</f>
        <v>#N/A</v>
      </c>
      <c r="J44" s="1" t="e">
        <f>VLOOKUP(Inv_Sy[[#This Row],[Date]],RD[#All],J$1,0)/J$2</f>
        <v>#N/A</v>
      </c>
      <c r="K44" s="1" t="e">
        <f>VLOOKUP(Inv_Sy[[#This Row],[Date]],RD[#All],K$1,0)/K$2</f>
        <v>#N/A</v>
      </c>
      <c r="L44" s="1" t="e">
        <f>VLOOKUP(Inv_Sy[[#This Row],[Date]],RD[#All],L$1,0)/L$2</f>
        <v>#N/A</v>
      </c>
      <c r="M44" s="1" t="e">
        <f>VLOOKUP(Inv_Sy[[#This Row],[Date]],RD[#All],M$1,0)/M$2</f>
        <v>#N/A</v>
      </c>
      <c r="N44" s="1" t="e">
        <f>VLOOKUP(Inv_Sy[[#This Row],[Date]],RD[#All],N$1,0)/N$2</f>
        <v>#N/A</v>
      </c>
      <c r="O44" s="1" t="e">
        <f>VLOOKUP(Inv_Sy[[#This Row],[Date]],RD[#All],O$1,0)/O$2</f>
        <v>#N/A</v>
      </c>
      <c r="P44" s="1" t="e">
        <f>AVERAGEIFS(Inv_Sy[[#This Row],[G1 Inv1]:[G5 Inv10]],Inv_Sy[[#This Row],[G1 Inv1]:[G5 Inv10]],"&lt;&gt;"&amp;0)</f>
        <v>#N/A</v>
      </c>
      <c r="Q44" s="1" t="e">
        <f>VLOOKUP(Inv_Sy[[#This Row],[Date]],RD[#All],Q$1,0)/Q$2</f>
        <v>#N/A</v>
      </c>
      <c r="R44" s="1" t="e">
        <f>VLOOKUP(Inv_Sy[[#This Row],[Date]],RD[#All],R$1,0)/R$2</f>
        <v>#N/A</v>
      </c>
      <c r="S44" s="1" t="e">
        <f>VLOOKUP(Inv_Sy[[#This Row],[Date]],RD[#All],S$1,0)/S$2</f>
        <v>#N/A</v>
      </c>
      <c r="T44" s="1" t="e">
        <f>VLOOKUP(Inv_Sy[[#This Row],[Date]],RD[#All],T$1,0)/T$2</f>
        <v>#N/A</v>
      </c>
      <c r="U44" s="1" t="e">
        <f>VLOOKUP(Inv_Sy[[#This Row],[Date]],RD[#All],U$1,0)/U$2</f>
        <v>#N/A</v>
      </c>
      <c r="V44" s="1" t="e">
        <f>VLOOKUP(Inv_Sy[[#This Row],[Date]],RD[#All],V$1,0)/V$2</f>
        <v>#N/A</v>
      </c>
      <c r="W44" s="1" t="e">
        <f>VLOOKUP(Inv_Sy[[#This Row],[Date]],RD[#All],W$1,0)/W$2</f>
        <v>#N/A</v>
      </c>
      <c r="X44" s="1" t="e">
        <f>VLOOKUP(Inv_Sy[[#This Row],[Date]],RD[#All],X$1,0)/X$2</f>
        <v>#N/A</v>
      </c>
      <c r="Y44" s="1" t="e">
        <f>VLOOKUP(Inv_Sy[[#This Row],[Date]],RD[#All],Y$1,0)/Y$2</f>
        <v>#N/A</v>
      </c>
      <c r="Z44" s="1" t="e">
        <f>VLOOKUP(Inv_Sy[[#This Row],[Date]],RD[#All],Z$1,0)/Z$2</f>
        <v>#N/A</v>
      </c>
      <c r="AA44" s="1" t="str">
        <f t="shared" si="4"/>
        <v/>
      </c>
      <c r="AB44" s="1" t="e">
        <f>MAX(Inv_Sy[[#This Row],[G1 Inv1]:[IS1_Inv2]])</f>
        <v>#N/A</v>
      </c>
      <c r="AC44"/>
    </row>
    <row r="45" spans="1:29" ht="15" customHeight="1" x14ac:dyDescent="0.2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45878</v>
      </c>
      <c r="F45" s="1" t="e">
        <f>VLOOKUP(Inv_Sy[[#This Row],[Date]],RD[#All],F$1,0)/F$2</f>
        <v>#N/A</v>
      </c>
      <c r="G45" s="1" t="e">
        <f>VLOOKUP(Inv_Sy[[#This Row],[Date]],RD[#All],G$1,0)/G$2</f>
        <v>#N/A</v>
      </c>
      <c r="H45" s="1" t="e">
        <f>VLOOKUP(Inv_Sy[[#This Row],[Date]],RD[#All],H$1,0)/H$2</f>
        <v>#N/A</v>
      </c>
      <c r="I45" s="1" t="e">
        <f>VLOOKUP(Inv_Sy[[#This Row],[Date]],RD[#All],I$1,0)/I$2</f>
        <v>#N/A</v>
      </c>
      <c r="J45" s="1" t="e">
        <f>VLOOKUP(Inv_Sy[[#This Row],[Date]],RD[#All],J$1,0)/J$2</f>
        <v>#N/A</v>
      </c>
      <c r="K45" s="1" t="e">
        <f>VLOOKUP(Inv_Sy[[#This Row],[Date]],RD[#All],K$1,0)/K$2</f>
        <v>#N/A</v>
      </c>
      <c r="L45" s="1" t="e">
        <f>VLOOKUP(Inv_Sy[[#This Row],[Date]],RD[#All],L$1,0)/L$2</f>
        <v>#N/A</v>
      </c>
      <c r="M45" s="1" t="e">
        <f>VLOOKUP(Inv_Sy[[#This Row],[Date]],RD[#All],M$1,0)/M$2</f>
        <v>#N/A</v>
      </c>
      <c r="N45" s="1" t="e">
        <f>VLOOKUP(Inv_Sy[[#This Row],[Date]],RD[#All],N$1,0)/N$2</f>
        <v>#N/A</v>
      </c>
      <c r="O45" s="1" t="e">
        <f>VLOOKUP(Inv_Sy[[#This Row],[Date]],RD[#All],O$1,0)/O$2</f>
        <v>#N/A</v>
      </c>
      <c r="P45" s="1" t="e">
        <f>AVERAGEIFS(Inv_Sy[[#This Row],[G1 Inv1]:[G5 Inv10]],Inv_Sy[[#This Row],[G1 Inv1]:[G5 Inv10]],"&lt;&gt;"&amp;0)</f>
        <v>#N/A</v>
      </c>
      <c r="Q45" s="1" t="e">
        <f>VLOOKUP(Inv_Sy[[#This Row],[Date]],RD[#All],Q$1,0)/Q$2</f>
        <v>#N/A</v>
      </c>
      <c r="R45" s="1" t="e">
        <f>VLOOKUP(Inv_Sy[[#This Row],[Date]],RD[#All],R$1,0)/R$2</f>
        <v>#N/A</v>
      </c>
      <c r="S45" s="1" t="e">
        <f>VLOOKUP(Inv_Sy[[#This Row],[Date]],RD[#All],S$1,0)/S$2</f>
        <v>#N/A</v>
      </c>
      <c r="T45" s="1" t="e">
        <f>VLOOKUP(Inv_Sy[[#This Row],[Date]],RD[#All],T$1,0)/T$2</f>
        <v>#N/A</v>
      </c>
      <c r="U45" s="1" t="e">
        <f>VLOOKUP(Inv_Sy[[#This Row],[Date]],RD[#All],U$1,0)/U$2</f>
        <v>#N/A</v>
      </c>
      <c r="V45" s="1" t="e">
        <f>VLOOKUP(Inv_Sy[[#This Row],[Date]],RD[#All],V$1,0)/V$2</f>
        <v>#N/A</v>
      </c>
      <c r="W45" s="1" t="e">
        <f>VLOOKUP(Inv_Sy[[#This Row],[Date]],RD[#All],W$1,0)/W$2</f>
        <v>#N/A</v>
      </c>
      <c r="X45" s="1" t="e">
        <f>VLOOKUP(Inv_Sy[[#This Row],[Date]],RD[#All],X$1,0)/X$2</f>
        <v>#N/A</v>
      </c>
      <c r="Y45" s="1" t="e">
        <f>VLOOKUP(Inv_Sy[[#This Row],[Date]],RD[#All],Y$1,0)/Y$2</f>
        <v>#N/A</v>
      </c>
      <c r="Z45" s="1" t="e">
        <f>VLOOKUP(Inv_Sy[[#This Row],[Date]],RD[#All],Z$1,0)/Z$2</f>
        <v>#N/A</v>
      </c>
      <c r="AA45" s="1" t="str">
        <f t="shared" si="4"/>
        <v/>
      </c>
      <c r="AB45" s="1" t="e">
        <f>MAX(Inv_Sy[[#This Row],[G1 Inv1]:[IS1_Inv2]])</f>
        <v>#N/A</v>
      </c>
      <c r="AC45"/>
    </row>
    <row r="46" spans="1:29" ht="15" customHeight="1" x14ac:dyDescent="0.2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45879</v>
      </c>
      <c r="F46" s="1" t="e">
        <f>VLOOKUP(Inv_Sy[[#This Row],[Date]],RD[#All],F$1,0)/F$2</f>
        <v>#N/A</v>
      </c>
      <c r="G46" s="1" t="e">
        <f>VLOOKUP(Inv_Sy[[#This Row],[Date]],RD[#All],G$1,0)/G$2</f>
        <v>#N/A</v>
      </c>
      <c r="H46" s="1" t="e">
        <f>VLOOKUP(Inv_Sy[[#This Row],[Date]],RD[#All],H$1,0)/H$2</f>
        <v>#N/A</v>
      </c>
      <c r="I46" s="1" t="e">
        <f>VLOOKUP(Inv_Sy[[#This Row],[Date]],RD[#All],I$1,0)/I$2</f>
        <v>#N/A</v>
      </c>
      <c r="J46" s="1" t="e">
        <f>VLOOKUP(Inv_Sy[[#This Row],[Date]],RD[#All],J$1,0)/J$2</f>
        <v>#N/A</v>
      </c>
      <c r="K46" s="1" t="e">
        <f>VLOOKUP(Inv_Sy[[#This Row],[Date]],RD[#All],K$1,0)/K$2</f>
        <v>#N/A</v>
      </c>
      <c r="L46" s="1" t="e">
        <f>VLOOKUP(Inv_Sy[[#This Row],[Date]],RD[#All],L$1,0)/L$2</f>
        <v>#N/A</v>
      </c>
      <c r="M46" s="1" t="e">
        <f>VLOOKUP(Inv_Sy[[#This Row],[Date]],RD[#All],M$1,0)/M$2</f>
        <v>#N/A</v>
      </c>
      <c r="N46" s="1" t="e">
        <f>VLOOKUP(Inv_Sy[[#This Row],[Date]],RD[#All],N$1,0)/N$2</f>
        <v>#N/A</v>
      </c>
      <c r="O46" s="1" t="e">
        <f>VLOOKUP(Inv_Sy[[#This Row],[Date]],RD[#All],O$1,0)/O$2</f>
        <v>#N/A</v>
      </c>
      <c r="P46" s="1" t="e">
        <f>AVERAGEIFS(Inv_Sy[[#This Row],[G1 Inv1]:[G5 Inv10]],Inv_Sy[[#This Row],[G1 Inv1]:[G5 Inv10]],"&lt;&gt;"&amp;0)</f>
        <v>#N/A</v>
      </c>
      <c r="Q46" s="1" t="e">
        <f>VLOOKUP(Inv_Sy[[#This Row],[Date]],RD[#All],Q$1,0)/Q$2</f>
        <v>#N/A</v>
      </c>
      <c r="R46" s="1" t="e">
        <f>VLOOKUP(Inv_Sy[[#This Row],[Date]],RD[#All],R$1,0)/R$2</f>
        <v>#N/A</v>
      </c>
      <c r="S46" s="1" t="e">
        <f>VLOOKUP(Inv_Sy[[#This Row],[Date]],RD[#All],S$1,0)/S$2</f>
        <v>#N/A</v>
      </c>
      <c r="T46" s="1" t="e">
        <f>VLOOKUP(Inv_Sy[[#This Row],[Date]],RD[#All],T$1,0)/T$2</f>
        <v>#N/A</v>
      </c>
      <c r="U46" s="1" t="e">
        <f>VLOOKUP(Inv_Sy[[#This Row],[Date]],RD[#All],U$1,0)/U$2</f>
        <v>#N/A</v>
      </c>
      <c r="V46" s="1" t="e">
        <f>VLOOKUP(Inv_Sy[[#This Row],[Date]],RD[#All],V$1,0)/V$2</f>
        <v>#N/A</v>
      </c>
      <c r="W46" s="1" t="e">
        <f>VLOOKUP(Inv_Sy[[#This Row],[Date]],RD[#All],W$1,0)/W$2</f>
        <v>#N/A</v>
      </c>
      <c r="X46" s="1" t="e">
        <f>VLOOKUP(Inv_Sy[[#This Row],[Date]],RD[#All],X$1,0)/X$2</f>
        <v>#N/A</v>
      </c>
      <c r="Y46" s="1" t="e">
        <f>VLOOKUP(Inv_Sy[[#This Row],[Date]],RD[#All],Y$1,0)/Y$2</f>
        <v>#N/A</v>
      </c>
      <c r="Z46" s="1" t="e">
        <f>VLOOKUP(Inv_Sy[[#This Row],[Date]],RD[#All],Z$1,0)/Z$2</f>
        <v>#N/A</v>
      </c>
      <c r="AA46" s="1" t="str">
        <f t="shared" si="4"/>
        <v/>
      </c>
      <c r="AB46" s="1" t="e">
        <f>MAX(Inv_Sy[[#This Row],[G1 Inv1]:[IS1_Inv2]])</f>
        <v>#N/A</v>
      </c>
      <c r="AC46"/>
    </row>
    <row r="47" spans="1:29" ht="15" customHeight="1" x14ac:dyDescent="0.2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45880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4"/>
        <v/>
      </c>
      <c r="AB47" s="1" t="e">
        <f>MAX(Inv_Sy[[#This Row],[G1 Inv1]:[IS1_Inv2]])</f>
        <v>#N/A</v>
      </c>
      <c r="AC47"/>
    </row>
    <row r="48" spans="1:29" ht="15" customHeight="1" x14ac:dyDescent="0.2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45881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4"/>
        <v/>
      </c>
      <c r="AB48" s="1" t="e">
        <f>MAX(Inv_Sy[[#This Row],[G1 Inv1]:[IS1_Inv2]])</f>
        <v>#N/A</v>
      </c>
      <c r="AC48"/>
    </row>
    <row r="49" spans="1:29" ht="15" customHeight="1" x14ac:dyDescent="0.2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45882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2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45883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2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45884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2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45885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2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45886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2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45887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2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45888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2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45889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2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45890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2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45891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2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45892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2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45893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2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45894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2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45895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2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45896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2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45897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2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45898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K1" sqref="K1"/>
    </sheetView>
  </sheetViews>
  <sheetFormatPr defaultColWidth="8.85546875" defaultRowHeight="12.6" customHeight="1" x14ac:dyDescent="0.25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 x14ac:dyDescent="0.2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 x14ac:dyDescent="0.2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 x14ac:dyDescent="0.2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 x14ac:dyDescent="0.2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 x14ac:dyDescent="0.2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 x14ac:dyDescent="0.2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 x14ac:dyDescent="0.2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I11" sqref="AI11"/>
    </sheetView>
  </sheetViews>
  <sheetFormatPr defaultColWidth="8.85546875" defaultRowHeight="15" x14ac:dyDescent="0.2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30" x14ac:dyDescent="0.2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30" x14ac:dyDescent="0.2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60" x14ac:dyDescent="0.2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2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45869</v>
      </c>
      <c r="AI4" s="221">
        <f>AH4</f>
        <v>45869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4.4400000000000004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39.029999999999994</v>
      </c>
      <c r="AQ4" s="45">
        <f t="shared" ref="AQ4:AQ9" si="2">AO4/AM4/AJ4</f>
        <v>0.71045083599275849</v>
      </c>
      <c r="AR4" s="46">
        <f t="shared" ref="AR4:AR9" si="3">AP4/AN4/AJ4</f>
        <v>0.76418883088389555</v>
      </c>
      <c r="AS4" s="45">
        <f>AO4/AJ4/24*AL4</f>
        <v>0.13044030133953066</v>
      </c>
      <c r="AT4" s="46">
        <f>AP4/AJ4/(24*AL4)</f>
        <v>0.1413749337135207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0.99937335518893367</v>
      </c>
    </row>
    <row r="5" spans="1:51" x14ac:dyDescent="0.2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45869</v>
      </c>
      <c r="AJ5" s="214">
        <v>11.5031</v>
      </c>
      <c r="AK5" s="47"/>
      <c r="AL5" s="43">
        <f>AI5-AH5+1</f>
        <v>31</v>
      </c>
      <c r="AM5" s="223">
        <f>_xlfn.XLOOKUP($AH$2,'Modelling New'!$D:$D,'Modelling New'!$R:$R)</f>
        <v>136.6</v>
      </c>
      <c r="AN5" s="68">
        <f>SUMIF('Raw Data'!F:F,'Basic Data'!AH2,'Raw Data'!AP:AP)</f>
        <v>115.03600000000002</v>
      </c>
      <c r="AO5" s="43">
        <f>_xlfn.XLOOKUP($AH$2,$AM$11:$AM$47,$AT$11:$AT$47)</f>
        <v>1116.3480657720338</v>
      </c>
      <c r="AP5" s="44">
        <f>(SUMIF('Raw Data'!$F:$F,'Basic Data'!$AH2,'Raw Data'!BN:BN)/1000)-(SUMIF('Raw Data'!$F:$F,'Basic Data'!$AH2,'Raw Data'!BO:BO)/1000)</f>
        <v>969.87</v>
      </c>
      <c r="AQ5" s="45">
        <f t="shared" si="2"/>
        <v>0.71045083599275849</v>
      </c>
      <c r="AR5" s="46">
        <f t="shared" si="3"/>
        <v>0.73293398304017765</v>
      </c>
      <c r="AS5" s="45">
        <f>AO5/AJ5/(24*AL5)</f>
        <v>0.13044030133953066</v>
      </c>
      <c r="AT5" s="46">
        <f t="shared" ref="AT5:AT9" si="4">AP5/AJ5/(24*AL5)</f>
        <v>0.11332499149598102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0.96254935764567784</v>
      </c>
    </row>
    <row r="6" spans="1:51" x14ac:dyDescent="0.2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45869</v>
      </c>
      <c r="AJ6" s="214">
        <v>11.5031</v>
      </c>
      <c r="AK6" s="47"/>
      <c r="AL6" s="43">
        <f>AI6-AH6+1</f>
        <v>122</v>
      </c>
      <c r="AM6" s="223">
        <f>_xlfn.XLOOKUP($AH$2,'Modelling New'!$D:$D,'Modelling New'!$S:$S)</f>
        <v>691.4</v>
      </c>
      <c r="AN6" s="68">
        <f>SUMIFS('Raw Data'!AP:AP,'Raw Data'!$A:$A,"&gt;="&amp;'Basic Data'!$AH6,'Raw Data'!$A:$A,"&lt;="&amp;'Basic Data'!$AI6)</f>
        <v>607.27217599999994</v>
      </c>
      <c r="AO6" s="43">
        <f>_xlfn.XLOOKUP($AH$2,$AM$11:$AM$47,$AU$11:$AU$47)</f>
        <v>5424.9576222719279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4746.21</v>
      </c>
      <c r="AQ6" s="45">
        <f t="shared" si="2"/>
        <v>0.68210632950052896</v>
      </c>
      <c r="AR6" s="46">
        <f t="shared" si="3"/>
        <v>0.67943618366887015</v>
      </c>
      <c r="AS6" s="45">
        <f>AO6/AJ6/(24*AL6)</f>
        <v>0.16106841400842409</v>
      </c>
      <c r="AT6" s="46">
        <f t="shared" si="4"/>
        <v>0.1409162191631593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0.99209933133271022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0.9689856588219895</v>
      </c>
    </row>
    <row r="7" spans="1:51" x14ac:dyDescent="0.2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45869</v>
      </c>
      <c r="AI7" s="221">
        <f>$AI$4</f>
        <v>45869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4.532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49.711200000000005</v>
      </c>
      <c r="AQ7" s="45">
        <f t="shared" si="2"/>
        <v>0.73660958057312542</v>
      </c>
      <c r="AR7" s="46">
        <f t="shared" si="3"/>
        <v>0.85862481712993755</v>
      </c>
      <c r="AS7" s="45">
        <f>AO7/AJ7/(24*AL7)</f>
        <v>0.13524310309985074</v>
      </c>
      <c r="AT7" s="46">
        <f t="shared" si="4"/>
        <v>0.16213698630136988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0.99937335518893367</v>
      </c>
    </row>
    <row r="8" spans="1:51" x14ac:dyDescent="0.2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45869</v>
      </c>
      <c r="AJ8" s="214">
        <v>12.775</v>
      </c>
      <c r="AK8" s="47"/>
      <c r="AL8" s="43">
        <f>AL5</f>
        <v>31</v>
      </c>
      <c r="AM8" s="223">
        <f>_xlfn.XLOOKUP($AH$2,'Modelling New'!$D:$D,'Modelling New'!$R:$R)</f>
        <v>136.6</v>
      </c>
      <c r="AN8" s="68">
        <f>SUMIF('Raw Data'!F:F,'Basic Data'!$AH2,'Raw Data'!AQ:AQ)</f>
        <v>112.13499999999999</v>
      </c>
      <c r="AO8" s="43">
        <f>_xlfn.XLOOKUP($AH$2,$AM$11:$AM$47,$AX$11:$AX$47)</f>
        <v>1285.4315977228412</v>
      </c>
      <c r="AP8" s="44">
        <f>(SUMIF('Raw Data'!$F:$F,'Basic Data'!$AH2,'Raw Data'!BP:BP)/1000)-(SUMIF('Raw Data'!$F:$F,'Basic Data'!$AH2,'Raw Data'!BQ:BQ)/1000)</f>
        <v>1242.3666000000001</v>
      </c>
      <c r="AQ8" s="45">
        <f t="shared" si="2"/>
        <v>0.73660958057312542</v>
      </c>
      <c r="AR8" s="46">
        <f t="shared" si="3"/>
        <v>0.86725671469696386</v>
      </c>
      <c r="AS8" s="45">
        <f>AO8/AJ8/(24*AL8)</f>
        <v>0.13524310309985071</v>
      </c>
      <c r="AT8" s="46">
        <f t="shared" si="4"/>
        <v>0.13071213938513981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0.96254935764567784</v>
      </c>
    </row>
    <row r="9" spans="1:51" x14ac:dyDescent="0.2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45869</v>
      </c>
      <c r="AJ9" s="214">
        <v>12.775</v>
      </c>
      <c r="AK9" s="47"/>
      <c r="AL9" s="43">
        <f>AI9-AH9+1</f>
        <v>122</v>
      </c>
      <c r="AM9" s="223">
        <f>_xlfn.XLOOKUP($AH$2,'Modelling New'!$D:$D,'Modelling New'!$S:$S)</f>
        <v>691.4</v>
      </c>
      <c r="AN9" s="68">
        <f>SUMIFS('Raw Data'!AQ:AQ,'Raw Data'!$A:$A,"&gt;="&amp;'Basic Data'!$AH9,'Raw Data'!$A:$A,"&lt;="&amp;'Basic Data'!$AI9)</f>
        <v>597.82482166666671</v>
      </c>
      <c r="AO9" s="43">
        <f>_xlfn.XLOOKUP($AH$2,$AM$11:$AM$47,$AY$11:$AY$47)</f>
        <v>7041.6482025908936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6456.6266999999998</v>
      </c>
      <c r="AQ9" s="45">
        <f t="shared" si="2"/>
        <v>0.79723074740333932</v>
      </c>
      <c r="AR9" s="46">
        <f t="shared" si="3"/>
        <v>0.84541670679964198</v>
      </c>
      <c r="AS9" s="45">
        <f>AO9/AJ9/(24*AL9)</f>
        <v>0.18825318946539235</v>
      </c>
      <c r="AT9" s="46">
        <f t="shared" si="4"/>
        <v>0.17261307786083219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0.99209933133271022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0.9689856588219895</v>
      </c>
    </row>
    <row r="10" spans="1:51" x14ac:dyDescent="0.2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5" x14ac:dyDescent="0.2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2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2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2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2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2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2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2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2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2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2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2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2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2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2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2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2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2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2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2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2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2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2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2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2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2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2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2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2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31</v>
      </c>
      <c r="AR39" s="266">
        <v>1116.3480657720338</v>
      </c>
      <c r="AS39" s="185">
        <f t="shared" si="8"/>
        <v>36.011227928130126</v>
      </c>
      <c r="AT39">
        <f t="shared" si="10"/>
        <v>1116.3480657720338</v>
      </c>
      <c r="AU39" s="185">
        <f>SUMIF($AO$12:$AO39,$AO39,$AT$12:AT39)</f>
        <v>5424.9576222719279</v>
      </c>
      <c r="AV39" s="267">
        <v>1285.4315977228412</v>
      </c>
      <c r="AW39" s="185">
        <f t="shared" si="9"/>
        <v>41.465535410414233</v>
      </c>
      <c r="AX39" s="185">
        <f t="shared" si="11"/>
        <v>1285.4315977228412</v>
      </c>
      <c r="AY39" s="185">
        <f>SUMIF($AO$12:$AO39,$AO39,$AX$12:AX39)</f>
        <v>7041.6482025908936</v>
      </c>
    </row>
    <row r="40" spans="1:51" x14ac:dyDescent="0.2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5424.9576222719279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7041.6482025908936</v>
      </c>
    </row>
    <row r="41" spans="1:51" x14ac:dyDescent="0.2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5424.9576222719279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7041.6482025908936</v>
      </c>
    </row>
    <row r="42" spans="1:51" x14ac:dyDescent="0.2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5424.9576222719279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7041.6482025908936</v>
      </c>
    </row>
    <row r="43" spans="1:51" x14ac:dyDescent="0.2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5424.9576222719279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7041.6482025908936</v>
      </c>
    </row>
    <row r="44" spans="1:51" x14ac:dyDescent="0.2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5424.9576222719279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7041.6482025908936</v>
      </c>
    </row>
    <row r="45" spans="1:51" x14ac:dyDescent="0.2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5424.9576222719279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7041.6482025908936</v>
      </c>
    </row>
    <row r="46" spans="1:51" x14ac:dyDescent="0.2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5424.9576222719279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7041.6482025908936</v>
      </c>
    </row>
    <row r="47" spans="1:51" x14ac:dyDescent="0.2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5424.9576222719279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7041.6482025908936</v>
      </c>
    </row>
    <row r="48" spans="1:51" x14ac:dyDescent="0.2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2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2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2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2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2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2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2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2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2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2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2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2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2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2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2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2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2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2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2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2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2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2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2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2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2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2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2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2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2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2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2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2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2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2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2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2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2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2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2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2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2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2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25">
      <c r="A91" s="7" t="s">
        <v>499</v>
      </c>
      <c r="B91" s="4">
        <v>0</v>
      </c>
      <c r="C91" s="141">
        <f t="shared" si="18"/>
        <v>0</v>
      </c>
    </row>
    <row r="92" spans="1:18" x14ac:dyDescent="0.2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2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2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2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2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2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2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2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2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2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2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2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2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2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2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2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2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2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2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2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2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2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2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2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2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2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2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2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2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2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2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2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2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2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2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2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2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2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2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2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2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2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2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2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2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2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2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2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2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2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2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2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2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2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2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2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2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2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2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2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2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2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2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2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2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2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2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2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2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2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2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2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2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2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2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2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2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2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2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2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2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2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2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2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2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2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2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2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2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2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2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2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2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2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2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703125" defaultRowHeight="15" x14ac:dyDescent="0.2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5" x14ac:dyDescent="0.2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2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2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2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2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2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2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2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2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2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2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2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2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2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2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2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2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2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2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2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2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2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2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2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2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2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2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2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2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31</v>
      </c>
      <c r="R29" s="247">
        <f t="shared" si="4"/>
        <v>136.6</v>
      </c>
      <c r="S29" s="247">
        <f>SUMIF($F$2:F29,F29,$R$2:R29)</f>
        <v>691.4</v>
      </c>
      <c r="T29" s="246">
        <f t="shared" si="28"/>
        <v>77.476763338544359</v>
      </c>
      <c r="U29" s="247">
        <f t="shared" si="29"/>
        <v>2401.779663494875</v>
      </c>
      <c r="V29" s="247">
        <f>SUMIF($F$2:F29,F29,$U$2:U29)</f>
        <v>12466.605824862821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0.1751924885549864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2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691.4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12466.605824862821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0.1751924885549864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2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691.4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12466.605824862821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0.1751924885549864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2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691.4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12466.605824862821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0.1751924885549864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2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691.4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12466.605824862821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0.1751924885549864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2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691.4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12466.605824862821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0.1751924885549864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2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691.4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12466.605824862821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0.1751924885549864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2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691.4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12466.605824862821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0.1751924885549864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2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691.4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12466.605824862821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0.1751924885549864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5" x14ac:dyDescent="0.2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30" x14ac:dyDescent="0.2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2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2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2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2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2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2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2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2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2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2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2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2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2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2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60" x14ac:dyDescent="0.2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2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2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2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2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2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2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2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2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2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2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2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2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2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2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2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2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2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2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2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2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2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2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2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2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2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2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2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2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2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2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2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2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2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2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2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2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2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2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2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2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2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2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2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2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2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2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2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2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2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2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2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2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2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2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2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2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2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2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2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2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2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2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2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2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2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2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2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2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2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2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2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2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2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2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2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2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2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2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2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2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2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2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2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2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2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2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2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2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2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2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2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2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2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2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2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2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2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2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2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2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2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2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2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2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2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2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2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2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2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2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2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2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2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2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2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2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2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2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2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2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2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2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2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2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2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2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2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2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2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2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2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2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2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2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2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2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2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2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2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2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2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2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2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2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2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2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2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2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2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2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2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2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2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2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2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2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2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2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2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2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2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2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2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2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2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2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2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2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2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2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2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2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2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2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2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2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2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2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2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2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2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2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2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2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2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2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2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2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2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2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2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2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2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2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2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2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2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2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2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2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2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2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2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2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2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2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2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2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2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2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2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2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2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2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2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2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2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2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2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2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2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2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2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2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2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2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2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2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2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2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2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2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2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2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2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2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2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2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2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2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2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2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2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2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2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2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2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2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2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2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2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2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2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2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2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2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2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2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2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2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2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2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2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2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2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2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2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2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2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2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2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2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2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2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2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2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2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2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2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2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2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2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2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2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2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2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2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2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2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2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2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2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2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2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2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2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2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2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2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2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2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2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2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2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2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2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2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2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2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2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2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2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2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2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2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2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2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2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2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2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2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2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2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2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2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2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2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2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2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2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2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2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2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2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2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2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2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2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2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2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2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2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2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2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2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2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2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2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2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2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2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2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2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2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2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2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2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2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2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2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2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2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2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2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2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2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2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2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2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2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2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2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2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2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2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2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2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2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2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2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2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2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2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2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2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2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2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2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2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2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2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2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2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2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2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2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2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2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2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2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2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2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2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2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2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2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2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2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2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2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2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2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2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2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2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2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2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2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2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2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2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2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2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2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2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2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2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2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2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2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2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2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2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2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2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2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2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2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2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2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2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2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2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2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2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2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2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2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2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2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2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2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2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2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2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2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2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2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2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2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2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2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2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2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2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2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2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2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2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2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2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2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2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2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2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2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2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2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2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2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2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2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2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2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2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2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2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2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2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2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2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2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2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2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2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2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2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2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2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2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2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2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2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2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2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2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2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2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2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2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2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2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2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2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2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2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2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2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2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2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2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2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2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2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2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2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2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2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2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2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2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2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2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2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2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2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2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2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2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2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2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2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2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2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2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2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2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2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2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2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2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2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2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2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2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2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2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2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2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2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2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2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2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2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2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2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2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2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2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2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2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2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2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2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2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2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2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2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2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2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2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2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2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2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2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2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2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2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2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2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2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2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2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2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2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2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2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2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2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2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2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2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2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2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2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2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2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2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2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2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2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2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2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2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2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2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2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2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2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2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2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2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2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2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2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2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2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2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2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2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2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2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2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2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2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2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2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2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2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2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2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2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2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2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2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2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2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2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2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2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2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2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2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2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2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2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2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2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2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2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2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2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2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2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2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2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2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2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2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2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2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2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2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2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2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2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2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2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2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2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2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2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2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2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2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2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2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2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2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2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2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2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2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2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2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2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2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2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2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2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2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2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2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2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2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2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2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2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2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2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2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2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2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2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2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2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2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2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2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2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2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2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2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2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2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2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2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2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2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2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2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K119" activePane="bottomRight" state="frozen"/>
      <selection pane="topRight" activeCell="H3" sqref="H3"/>
      <selection pane="bottomLeft" activeCell="A4" sqref="A4"/>
      <selection pane="bottomRight" activeCell="O132" sqref="O132"/>
    </sheetView>
  </sheetViews>
  <sheetFormatPr defaultColWidth="8.85546875" defaultRowHeight="21.75" customHeight="1" x14ac:dyDescent="0.25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 x14ac:dyDescent="0.2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2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2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2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2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2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2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2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2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2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2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2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2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2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2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2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2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2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2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2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2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2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2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2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2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2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2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2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2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2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2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2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2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2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2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2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2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2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2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2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2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2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2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2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2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2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2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2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2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2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2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2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2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2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2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2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2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2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2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2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2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2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2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2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2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2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2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2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2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2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2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2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2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2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2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2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2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2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2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2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2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2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2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2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2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2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2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2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2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2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2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2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2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2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2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2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2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2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2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2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2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2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2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2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2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2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2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2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2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2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2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2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2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2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2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2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2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2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2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2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2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2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2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9">
        <v>0.28958333333333336</v>
      </c>
      <c r="J123" s="319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</row>
    <row r="124" spans="1:70" ht="15" customHeight="1" x14ac:dyDescent="0.2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9">
        <v>0.27638888888888891</v>
      </c>
      <c r="J124" s="319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252026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36600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</row>
    <row r="125" spans="1:70" ht="15" customHeight="1" x14ac:dyDescent="0.2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319">
        <v>0.2638888888888889</v>
      </c>
      <c r="J125" s="319">
        <v>0.7680555555555556</v>
      </c>
      <c r="K125" s="79">
        <v>3877</v>
      </c>
      <c r="L125" s="79">
        <v>4342</v>
      </c>
      <c r="M125" s="79">
        <v>3864</v>
      </c>
      <c r="N125" s="179">
        <v>4405</v>
      </c>
      <c r="O125" s="179">
        <v>4501</v>
      </c>
      <c r="P125" s="179">
        <v>3800</v>
      </c>
      <c r="Q125" s="179">
        <v>4483</v>
      </c>
      <c r="R125" s="179">
        <v>3932</v>
      </c>
      <c r="S125" s="179">
        <v>4330</v>
      </c>
      <c r="T125" s="179">
        <v>3935</v>
      </c>
      <c r="U125" s="79">
        <v>4886.2</v>
      </c>
      <c r="V125" s="79">
        <v>4867</v>
      </c>
      <c r="W125" s="79">
        <v>5008</v>
      </c>
      <c r="X125" s="79">
        <v>4997</v>
      </c>
      <c r="Y125" s="79">
        <v>4993.2</v>
      </c>
      <c r="Z125" s="79">
        <v>4949.1000000000004</v>
      </c>
      <c r="AA125" s="79">
        <v>5008.3999999999996</v>
      </c>
      <c r="AB125" s="79">
        <v>5007.6000000000004</v>
      </c>
      <c r="AC125" s="79">
        <v>5801</v>
      </c>
      <c r="AD125" s="79">
        <v>6141.8</v>
      </c>
      <c r="AE125" s="79"/>
      <c r="AF125" s="79"/>
      <c r="AG125" s="79"/>
      <c r="AH125" s="79"/>
      <c r="AI125" s="79"/>
      <c r="AJ125" s="79"/>
      <c r="AK125" s="79"/>
      <c r="AL125" s="79"/>
      <c r="AM125" s="80">
        <v>154967.15520000001</v>
      </c>
      <c r="AN125" s="80">
        <v>668.02329999999995</v>
      </c>
      <c r="AO125" s="80"/>
      <c r="AP125" s="80">
        <v>4.694</v>
      </c>
      <c r="AQ125" s="82">
        <v>4.2539999999999996</v>
      </c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4.4624563426688626</v>
      </c>
      <c r="AS125" s="82">
        <f>SUM(RD[[#This Row],[G1 Inv1]:[G5 Inv10]])</f>
        <v>41469</v>
      </c>
      <c r="AT125" s="82">
        <f>SUM(RD[[#This Row],[IS1_Inv1_M1]:[IS1_Inv2_M4]])</f>
        <v>39716.5</v>
      </c>
      <c r="AU125" s="82">
        <f>SUM(RD[[#This Row],[IS2_Inv1]:[IS2_Inv2]])</f>
        <v>11942.8</v>
      </c>
      <c r="AV125" s="80"/>
      <c r="AW125" s="83"/>
      <c r="AX125" s="80"/>
      <c r="AY125" s="80"/>
      <c r="AZ125" s="80"/>
      <c r="BA125" s="83">
        <f>IFERROR(SUM(RD[[#This Row],[PSEGPL]:[O2R10]]),"")</f>
        <v>93128.3</v>
      </c>
      <c r="BB125" s="80">
        <v>1617</v>
      </c>
      <c r="BC125" s="83">
        <v>252118</v>
      </c>
      <c r="BD125" s="83">
        <v>1397</v>
      </c>
      <c r="BE125" s="83">
        <v>226357</v>
      </c>
      <c r="BF125" s="83">
        <v>2067</v>
      </c>
      <c r="BG125" s="83">
        <v>262321</v>
      </c>
      <c r="BH125" s="83">
        <v>3363</v>
      </c>
      <c r="BI125" s="83">
        <v>249172</v>
      </c>
      <c r="BJ125" s="101">
        <f>IF((RD[[#This Row],[33 kV F5 Export Reading_Gss End]]-AM124)*1000&lt;0,0,(RD[[#This Row],[33 kV F5 Export Reading_Gss End]]-AM124)*1000)</f>
        <v>92873.400000011316</v>
      </c>
      <c r="BK125" s="83">
        <f>IF((RD[[#This Row],[33 kV F5 Import Reading_GSS End2]]-AN124)*1000&lt;0,0,(RD[[#This Row],[33 kV F5 Import Reading_GSS End2]]-AN124)*1000)</f>
        <v>862.39999999997963</v>
      </c>
      <c r="BL125" s="84">
        <f>RD[[#This Row],[Export  (kWh)]]-RD[[#This Row],[Import (kWh)]]</f>
        <v>92011.000000011336</v>
      </c>
      <c r="BM125" s="84">
        <f>RD[[#This Row],[Inverters Generation ( kWh)]]-RD[[#This Row],[Export  (kWh)]]</f>
        <v>254.89999998868734</v>
      </c>
      <c r="BN125">
        <f t="shared" si="21"/>
        <v>22080</v>
      </c>
      <c r="BO125">
        <f t="shared" si="22"/>
        <v>210</v>
      </c>
      <c r="BP125" s="185">
        <f t="shared" si="23"/>
        <v>52350</v>
      </c>
      <c r="BQ125" s="185">
        <f t="shared" si="24"/>
        <v>688.8</v>
      </c>
      <c r="BR125" s="185">
        <f t="shared" si="20"/>
        <v>12.1</v>
      </c>
    </row>
    <row r="126" spans="1:70" ht="15" customHeight="1" x14ac:dyDescent="0.2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319">
        <v>0.27569444444444446</v>
      </c>
      <c r="J126" s="319">
        <v>0.76736111111111116</v>
      </c>
      <c r="K126" s="79">
        <v>2208</v>
      </c>
      <c r="L126" s="79">
        <v>2498</v>
      </c>
      <c r="M126" s="79">
        <v>2255</v>
      </c>
      <c r="N126" s="179">
        <v>2568</v>
      </c>
      <c r="O126" s="79">
        <v>2604</v>
      </c>
      <c r="P126" s="179">
        <v>2216</v>
      </c>
      <c r="Q126" s="179">
        <v>2576</v>
      </c>
      <c r="R126" s="179">
        <v>2276</v>
      </c>
      <c r="S126" s="179">
        <v>2540</v>
      </c>
      <c r="T126" s="179">
        <v>2257</v>
      </c>
      <c r="U126" s="79">
        <v>2874</v>
      </c>
      <c r="V126" s="79">
        <v>2872.9</v>
      </c>
      <c r="W126" s="79">
        <v>2957.6</v>
      </c>
      <c r="X126" s="79">
        <v>2956.7</v>
      </c>
      <c r="Y126" s="79">
        <v>2953.8</v>
      </c>
      <c r="Z126" s="79">
        <v>2908.2</v>
      </c>
      <c r="AA126" s="79">
        <v>2939.7</v>
      </c>
      <c r="AB126" s="79">
        <v>2930.7</v>
      </c>
      <c r="AC126" s="79">
        <v>3454.6</v>
      </c>
      <c r="AD126" s="79">
        <v>3700.5</v>
      </c>
      <c r="AE126" s="79"/>
      <c r="AF126" s="79"/>
      <c r="AG126" s="79"/>
      <c r="AH126" s="79"/>
      <c r="AI126" s="79"/>
      <c r="AJ126" s="79"/>
      <c r="AK126" s="79"/>
      <c r="AL126" s="79"/>
      <c r="AM126" s="80">
        <v>155022.1746</v>
      </c>
      <c r="AN126" s="80">
        <v>669.11659999999995</v>
      </c>
      <c r="AO126" s="80"/>
      <c r="AP126" s="80">
        <v>2.64</v>
      </c>
      <c r="AQ126" s="82">
        <v>2.78</v>
      </c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2.7136729818780889</v>
      </c>
      <c r="AS126" s="82">
        <f>SUM(RD[[#This Row],[G1 Inv1]:[G5 Inv10]])</f>
        <v>23998</v>
      </c>
      <c r="AT126" s="82">
        <f>SUM(RD[[#This Row],[IS1_Inv1_M1]:[IS1_Inv2_M4]])</f>
        <v>23393.600000000002</v>
      </c>
      <c r="AU126" s="82">
        <f>SUM(RD[[#This Row],[IS2_Inv1]:[IS2_Inv2]])</f>
        <v>7155.1</v>
      </c>
      <c r="AV126" s="80"/>
      <c r="AW126" s="83"/>
      <c r="AX126" s="80"/>
      <c r="AY126" s="80"/>
      <c r="AZ126" s="80"/>
      <c r="BA126" s="83">
        <f>IFERROR(SUM(RD[[#This Row],[PSEGPL]:[O2R10]]),"")</f>
        <v>54546.700000000004</v>
      </c>
      <c r="BB126" s="80">
        <v>1620</v>
      </c>
      <c r="BC126" s="83">
        <v>252419</v>
      </c>
      <c r="BD126" s="83">
        <v>1400</v>
      </c>
      <c r="BE126" s="83">
        <v>226569</v>
      </c>
      <c r="BF126" s="83">
        <v>2072</v>
      </c>
      <c r="BG126" s="83">
        <v>262590</v>
      </c>
      <c r="BH126" s="83">
        <v>3372</v>
      </c>
      <c r="BI126" s="83">
        <v>249417</v>
      </c>
      <c r="BJ126" s="101">
        <f>IF((RD[[#This Row],[33 kV F5 Export Reading_Gss End]]-AM125)*1000&lt;0,0,(RD[[#This Row],[33 kV F5 Export Reading_Gss End]]-AM125)*1000)</f>
        <v>55019.399999990128</v>
      </c>
      <c r="BK126" s="83">
        <f>IF((RD[[#This Row],[33 kV F5 Import Reading_GSS End2]]-AN125)*1000&lt;0,0,(RD[[#This Row],[33 kV F5 Import Reading_GSS End2]]-AN125)*1000)</f>
        <v>1093.2999999999993</v>
      </c>
      <c r="BL126" s="84">
        <f>RD[[#This Row],[Export  (kWh)]]-RD[[#This Row],[Import (kWh)]]</f>
        <v>53926.099999990125</v>
      </c>
      <c r="BM126" s="84">
        <f>RD[[#This Row],[Inverters Generation ( kWh)]]-RD[[#This Row],[Export  (kWh)]]</f>
        <v>-472.69999999012362</v>
      </c>
      <c r="BN126">
        <f t="shared" si="21"/>
        <v>27600</v>
      </c>
      <c r="BO126">
        <f t="shared" si="22"/>
        <v>315</v>
      </c>
      <c r="BP126" s="185">
        <f t="shared" ref="BP126:BP128" si="25">IF(AND(BG126="",BI126=""),"",(((BG126-BG125)*MF_Cap_O2RE6)+((BI126-BI125)*MF_Cap_O2RE10)))</f>
        <v>31560</v>
      </c>
      <c r="BQ126" s="185">
        <f t="shared" ref="BQ126:BQ128" si="26">IF(AND(BF126="",BH126=""),"",((((BF126-BF125)*MF_Cap_O2RE6)*1.33)+((BH126-BH125)*MF_Cap_O2RE10)))</f>
        <v>868.5</v>
      </c>
      <c r="BR126" s="185">
        <f t="shared" si="20"/>
        <v>11.8</v>
      </c>
    </row>
    <row r="127" spans="1:70" ht="15" customHeight="1" x14ac:dyDescent="0.2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319">
        <v>0.28055555555555556</v>
      </c>
      <c r="J127" s="319">
        <v>0.7729166666666667</v>
      </c>
      <c r="K127" s="79">
        <v>2369</v>
      </c>
      <c r="L127" s="79">
        <v>2651</v>
      </c>
      <c r="M127" s="79">
        <v>2368</v>
      </c>
      <c r="N127" s="179">
        <v>2702</v>
      </c>
      <c r="O127" s="179">
        <v>2782</v>
      </c>
      <c r="P127" s="179">
        <v>2306</v>
      </c>
      <c r="Q127" s="179">
        <v>2731</v>
      </c>
      <c r="R127" s="179">
        <v>2426</v>
      </c>
      <c r="S127" s="179">
        <v>2669</v>
      </c>
      <c r="T127" s="179">
        <v>2363</v>
      </c>
      <c r="U127" s="79">
        <v>3068</v>
      </c>
      <c r="V127" s="79">
        <v>3068.7</v>
      </c>
      <c r="W127" s="79">
        <v>3153.6</v>
      </c>
      <c r="X127" s="79">
        <v>3153.4</v>
      </c>
      <c r="Y127" s="79">
        <v>3146.9</v>
      </c>
      <c r="Z127" s="79">
        <v>3097.7</v>
      </c>
      <c r="AA127" s="79">
        <v>3131.6</v>
      </c>
      <c r="AB127" s="79">
        <v>3119.8</v>
      </c>
      <c r="AC127" s="79">
        <v>3627.5</v>
      </c>
      <c r="AD127" s="79">
        <v>3895.8</v>
      </c>
      <c r="AE127" s="79"/>
      <c r="AF127" s="79"/>
      <c r="AG127" s="79"/>
      <c r="AH127" s="79"/>
      <c r="AI127" s="79"/>
      <c r="AJ127" s="79"/>
      <c r="AK127" s="79"/>
      <c r="AL127" s="79"/>
      <c r="AM127" s="80">
        <v>155080.44</v>
      </c>
      <c r="AN127" s="80">
        <v>669.84</v>
      </c>
      <c r="AO127" s="80"/>
      <c r="AP127" s="80">
        <v>2.8650000000000002</v>
      </c>
      <c r="AQ127" s="82">
        <v>2.9</v>
      </c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2.8834182454695219</v>
      </c>
      <c r="AS127" s="82">
        <f>SUM(RD[[#This Row],[G1 Inv1]:[G5 Inv10]])</f>
        <v>25367</v>
      </c>
      <c r="AT127" s="82">
        <f>SUM(RD[[#This Row],[IS1_Inv1_M1]:[IS1_Inv2_M4]])</f>
        <v>24939.699999999997</v>
      </c>
      <c r="AU127" s="82">
        <f>SUM(RD[[#This Row],[IS2_Inv1]:[IS2_Inv2]])</f>
        <v>7523.3</v>
      </c>
      <c r="AV127" s="80"/>
      <c r="AW127" s="83"/>
      <c r="AX127" s="80"/>
      <c r="AY127" s="80"/>
      <c r="AZ127" s="80"/>
      <c r="BA127" s="83">
        <f>IFERROR(SUM(RD[[#This Row],[PSEGPL]:[O2R10]]),"")</f>
        <v>57830</v>
      </c>
      <c r="BB127" s="80">
        <v>1622</v>
      </c>
      <c r="BC127" s="83">
        <v>252671</v>
      </c>
      <c r="BD127" s="83">
        <v>1402</v>
      </c>
      <c r="BE127" s="83">
        <v>226794</v>
      </c>
      <c r="BF127" s="83">
        <v>2076</v>
      </c>
      <c r="BG127" s="83">
        <v>262875</v>
      </c>
      <c r="BH127" s="83">
        <v>3382</v>
      </c>
      <c r="BI127" s="83">
        <v>249675</v>
      </c>
      <c r="BJ127" s="101">
        <f>IF((RD[[#This Row],[33 kV F5 Export Reading_Gss End]]-AM126)*1000&lt;0,0,(RD[[#This Row],[33 kV F5 Export Reading_Gss End]]-AM126)*1000)</f>
        <v>58265.400000003865</v>
      </c>
      <c r="BK127" s="83">
        <f>IF((RD[[#This Row],[33 kV F5 Import Reading_GSS End2]]-AN126)*1000&lt;0,0,(RD[[#This Row],[33 kV F5 Import Reading_GSS End2]]-AN126)*1000)</f>
        <v>723.40000000008331</v>
      </c>
      <c r="BL127" s="84">
        <f>RD[[#This Row],[Export  (kWh)]]-RD[[#This Row],[Import (kWh)]]</f>
        <v>57542.000000003783</v>
      </c>
      <c r="BM127" s="84">
        <f>RD[[#This Row],[Inverters Generation ( kWh)]]-RD[[#This Row],[Export  (kWh)]]</f>
        <v>-435.40000000386499</v>
      </c>
      <c r="BN127">
        <f t="shared" si="21"/>
        <v>25245</v>
      </c>
      <c r="BO127">
        <f t="shared" si="22"/>
        <v>210</v>
      </c>
      <c r="BP127" s="185">
        <f t="shared" si="25"/>
        <v>33390</v>
      </c>
      <c r="BQ127" s="185">
        <f t="shared" si="26"/>
        <v>778.8</v>
      </c>
      <c r="BR127" s="185">
        <f t="shared" si="20"/>
        <v>11.816666666666666</v>
      </c>
    </row>
    <row r="128" spans="1:70" ht="15" customHeight="1" x14ac:dyDescent="0.2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319">
        <v>0.2722222222222222</v>
      </c>
      <c r="J128" s="319">
        <v>0.78472222222222221</v>
      </c>
      <c r="K128" s="79">
        <v>3730</v>
      </c>
      <c r="L128" s="79">
        <v>4278</v>
      </c>
      <c r="M128" s="79">
        <v>3684</v>
      </c>
      <c r="N128" s="179">
        <v>4220</v>
      </c>
      <c r="O128" s="179">
        <v>4343</v>
      </c>
      <c r="P128" s="179">
        <v>3550</v>
      </c>
      <c r="Q128" s="179">
        <v>4168</v>
      </c>
      <c r="R128" s="179">
        <v>3666</v>
      </c>
      <c r="S128" s="179">
        <v>4079</v>
      </c>
      <c r="T128" s="179">
        <v>3674</v>
      </c>
      <c r="U128" s="79">
        <v>4669.3</v>
      </c>
      <c r="V128" s="79">
        <v>4672</v>
      </c>
      <c r="W128" s="79">
        <v>4817.1000000000004</v>
      </c>
      <c r="X128" s="79">
        <v>4816.6000000000004</v>
      </c>
      <c r="Y128" s="79">
        <v>4809.3999999999996</v>
      </c>
      <c r="Z128" s="79">
        <v>4728.7</v>
      </c>
      <c r="AA128" s="79">
        <v>4762.1000000000004</v>
      </c>
      <c r="AB128" s="79">
        <v>4741.6000000000004</v>
      </c>
      <c r="AC128" s="79">
        <v>5606.4</v>
      </c>
      <c r="AD128" s="79">
        <v>6017.9</v>
      </c>
      <c r="AE128" s="79"/>
      <c r="AF128" s="79"/>
      <c r="AG128" s="79"/>
      <c r="AH128" s="79"/>
      <c r="AI128" s="79"/>
      <c r="AJ128" s="79"/>
      <c r="AK128" s="79"/>
      <c r="AL128" s="79"/>
      <c r="AM128" s="80">
        <v>155169.52420000001</v>
      </c>
      <c r="AN128" s="80">
        <v>670.90380000000005</v>
      </c>
      <c r="AO128" s="80"/>
      <c r="AP128" s="80">
        <v>4.4400000000000004</v>
      </c>
      <c r="AQ128" s="82">
        <v>4.532</v>
      </c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4.4884136738056011</v>
      </c>
      <c r="AS128" s="82">
        <f>SUM(RD[[#This Row],[G1 Inv1]:[G5 Inv10]])</f>
        <v>39392</v>
      </c>
      <c r="AT128" s="82">
        <f>SUM(RD[[#This Row],[IS1_Inv1_M1]:[IS1_Inv2_M4]])</f>
        <v>38016.800000000003</v>
      </c>
      <c r="AU128" s="82">
        <f>SUM(RD[[#This Row],[IS2_Inv1]:[IS2_Inv2]])</f>
        <v>11624.3</v>
      </c>
      <c r="AV128" s="80"/>
      <c r="AW128" s="83"/>
      <c r="AX128" s="80"/>
      <c r="AY128" s="80"/>
      <c r="AZ128" s="80"/>
      <c r="BA128" s="83">
        <f>IFERROR(SUM(RD[[#This Row],[PSEGPL]:[O2R10]]),"")</f>
        <v>89033.1</v>
      </c>
      <c r="BB128" s="80">
        <v>1625</v>
      </c>
      <c r="BC128" s="83">
        <v>253068</v>
      </c>
      <c r="BD128" s="83">
        <v>1404</v>
      </c>
      <c r="BE128" s="83">
        <v>227138</v>
      </c>
      <c r="BF128" s="83">
        <v>2080</v>
      </c>
      <c r="BG128" s="83">
        <v>263305</v>
      </c>
      <c r="BH128" s="83">
        <v>3392</v>
      </c>
      <c r="BI128" s="83">
        <v>250068</v>
      </c>
      <c r="BJ128" s="101">
        <f>IF((RD[[#This Row],[33 kV F5 Export Reading_Gss End]]-AM127)*1000&lt;0,0,(RD[[#This Row],[33 kV F5 Export Reading_Gss End]]-AM127)*1000)</f>
        <v>89084.200000012061</v>
      </c>
      <c r="BK128" s="83">
        <f>IF((RD[[#This Row],[33 kV F5 Import Reading_GSS End2]]-AN127)*1000&lt;0,0,(RD[[#This Row],[33 kV F5 Import Reading_GSS End2]]-AN127)*1000)</f>
        <v>1063.8000000000147</v>
      </c>
      <c r="BL128" s="84">
        <f>RD[[#This Row],[Export  (kWh)]]-RD[[#This Row],[Import (kWh)]]</f>
        <v>88020.400000012043</v>
      </c>
      <c r="BM128" s="84">
        <f>RD[[#This Row],[Inverters Generation ( kWh)]]-RD[[#This Row],[Export  (kWh)]]</f>
        <v>-51.100000012054807</v>
      </c>
      <c r="BN128">
        <f t="shared" si="21"/>
        <v>39300</v>
      </c>
      <c r="BO128">
        <f t="shared" si="22"/>
        <v>270</v>
      </c>
      <c r="BP128" s="185">
        <f t="shared" si="25"/>
        <v>50490</v>
      </c>
      <c r="BQ128" s="185">
        <f t="shared" si="26"/>
        <v>778.8</v>
      </c>
      <c r="BR128" s="185">
        <f t="shared" si="20"/>
        <v>12.299999999999999</v>
      </c>
    </row>
    <row r="129" spans="1:70" ht="15" customHeight="1" x14ac:dyDescent="0.2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3">
        <f>IFERROR(SUM(RD[[#This Row],[PSEGPL]:[O2R10]]),"")</f>
        <v>0</v>
      </c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2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2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2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2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2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2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AB184" activePane="bottomRight" state="frozen"/>
      <selection pane="topRight" activeCell="I3" sqref="I3"/>
      <selection pane="bottomLeft" activeCell="A4" sqref="A4"/>
      <selection pane="bottomRight" activeCell="AB197" sqref="AB197"/>
    </sheetView>
  </sheetViews>
  <sheetFormatPr defaultColWidth="8.85546875" defaultRowHeight="15" x14ac:dyDescent="0.2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 x14ac:dyDescent="0.2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2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8" x14ac:dyDescent="0.2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2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30" x14ac:dyDescent="0.2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30" x14ac:dyDescent="0.2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30" x14ac:dyDescent="0.2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30" x14ac:dyDescent="0.2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30" x14ac:dyDescent="0.2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30" x14ac:dyDescent="0.2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30" x14ac:dyDescent="0.2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2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30" x14ac:dyDescent="0.2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30" x14ac:dyDescent="0.2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30" x14ac:dyDescent="0.2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30" x14ac:dyDescent="0.2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30" x14ac:dyDescent="0.2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30" x14ac:dyDescent="0.2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2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2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2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2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2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2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2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2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30" x14ac:dyDescent="0.2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30" x14ac:dyDescent="0.2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30" x14ac:dyDescent="0.2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30" x14ac:dyDescent="0.2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30" x14ac:dyDescent="0.2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30" x14ac:dyDescent="0.2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30" x14ac:dyDescent="0.2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30" x14ac:dyDescent="0.2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30" x14ac:dyDescent="0.2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2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30" x14ac:dyDescent="0.2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30" x14ac:dyDescent="0.2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30" x14ac:dyDescent="0.2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2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30" x14ac:dyDescent="0.2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30" x14ac:dyDescent="0.2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30" x14ac:dyDescent="0.2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30" x14ac:dyDescent="0.2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30" x14ac:dyDescent="0.2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30" x14ac:dyDescent="0.2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30" x14ac:dyDescent="0.2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30" x14ac:dyDescent="0.2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30" x14ac:dyDescent="0.2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30" x14ac:dyDescent="0.2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30" x14ac:dyDescent="0.2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30" x14ac:dyDescent="0.2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30" x14ac:dyDescent="0.2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2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30" x14ac:dyDescent="0.2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30" x14ac:dyDescent="0.2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2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2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30" x14ac:dyDescent="0.2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30" x14ac:dyDescent="0.2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30" x14ac:dyDescent="0.2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2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2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2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30" x14ac:dyDescent="0.2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30" x14ac:dyDescent="0.2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2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30" x14ac:dyDescent="0.2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2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30" x14ac:dyDescent="0.2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30" x14ac:dyDescent="0.2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30" x14ac:dyDescent="0.2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30" x14ac:dyDescent="0.2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2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30" x14ac:dyDescent="0.2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2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30" x14ac:dyDescent="0.2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30" x14ac:dyDescent="0.2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2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2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2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2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2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2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2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2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2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2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2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2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2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2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2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2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2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2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2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2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2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2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2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2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2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2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2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2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2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2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2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2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2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2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30" x14ac:dyDescent="0.2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30" x14ac:dyDescent="0.2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2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2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30" x14ac:dyDescent="0.2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30" x14ac:dyDescent="0.2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2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2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2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2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2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2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2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2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2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2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2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2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2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2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2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2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2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2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2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2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2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2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2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2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2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2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2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2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2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2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2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2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2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2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2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2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2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2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2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2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2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2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2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2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2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2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2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2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2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2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2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2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2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2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2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2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2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2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2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2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2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2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2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2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2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2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2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2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4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209</v>
      </c>
      <c r="M186" s="180">
        <v>24213.794999999998</v>
      </c>
      <c r="N186" s="181">
        <v>0.99727327018121903</v>
      </c>
      <c r="O186" s="166" t="s">
        <v>209</v>
      </c>
      <c r="P186" s="149" t="s">
        <v>208</v>
      </c>
      <c r="Q186" s="149" t="s">
        <v>728</v>
      </c>
      <c r="R186" s="154" t="s">
        <v>950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6" t="s">
        <v>951</v>
      </c>
      <c r="AB186" s="149" t="s">
        <v>769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2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4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506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506</v>
      </c>
      <c r="P187" s="149" t="s">
        <v>896</v>
      </c>
      <c r="Q187" s="166" t="s">
        <v>725</v>
      </c>
      <c r="R187" s="166" t="s">
        <v>952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6" t="s">
        <v>687</v>
      </c>
      <c r="AB187" s="149" t="s">
        <v>953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25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4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506</v>
      </c>
      <c r="M188" s="180">
        <v>2300</v>
      </c>
      <c r="N188" s="181">
        <v>9.4728171334431635E-2</v>
      </c>
      <c r="O188" s="166" t="s">
        <v>506</v>
      </c>
      <c r="P188" s="149" t="s">
        <v>896</v>
      </c>
      <c r="Q188" s="149" t="s">
        <v>725</v>
      </c>
      <c r="R188" s="166" t="s">
        <v>952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6" t="s">
        <v>768</v>
      </c>
      <c r="AB188" s="149" t="s">
        <v>769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 x14ac:dyDescent="0.25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4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243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243</v>
      </c>
      <c r="P189" s="149" t="s">
        <v>674</v>
      </c>
      <c r="Q189" s="149" t="s">
        <v>675</v>
      </c>
      <c r="R189" s="149" t="s">
        <v>679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6" t="s">
        <v>902</v>
      </c>
      <c r="AB189" s="149" t="s">
        <v>769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 x14ac:dyDescent="0.25">
      <c r="A190" s="147">
        <f t="shared" si="3"/>
        <v>187</v>
      </c>
      <c r="B190" s="183">
        <v>45866</v>
      </c>
      <c r="C190" s="180">
        <f>YEAR(PA[[#This Row],[Date]])+IF(MONTH(PA[[#This Row],[Date]])&gt;=4,1,0)</f>
        <v>2026</v>
      </c>
      <c r="D190" s="155">
        <f>YEAR(PA[[#This Row],[Date]])</f>
        <v>2025</v>
      </c>
      <c r="E190" s="149" t="s">
        <v>4</v>
      </c>
      <c r="F190" s="149" t="s">
        <v>4</v>
      </c>
      <c r="G190" s="314">
        <f>PA[[#This Row],[Date]]-DAY(PA[[#This Row],[Date]])+1</f>
        <v>45839</v>
      </c>
      <c r="H190" s="155">
        <f>DAY(EOMONTH(PA[[#This Row],[Month Year]],0))</f>
        <v>31</v>
      </c>
      <c r="I190" s="151">
        <f>_xlfn.XLOOKUP(PA[[#This Row],[Date]],RD[Date],RD[Sunrise Time (POA&gt;20 W/m2)],0)</f>
        <v>0.2638888888888889</v>
      </c>
      <c r="J190" s="151">
        <f>_xlfn.XLOOKUP(PA[[#This Row],[Date]],RD[Date],RD[Sunset Time (POA&lt;20 W/m2)],0)</f>
        <v>0.7680555555555556</v>
      </c>
      <c r="K190" s="152">
        <f>IFERROR((PA[[#This Row],[Sunset Time (POA&lt;20 W/m2)]]-PA[[#This Row],[Sunrise Time (POA&gt;20 W/m2)]])*24,"")</f>
        <v>12.1</v>
      </c>
      <c r="L190" s="166" t="s">
        <v>209</v>
      </c>
      <c r="M190" s="180">
        <v>24213.794999999998</v>
      </c>
      <c r="N190" s="181">
        <v>0.99727327018121903</v>
      </c>
      <c r="O190" s="166" t="s">
        <v>209</v>
      </c>
      <c r="P190" s="149" t="s">
        <v>208</v>
      </c>
      <c r="Q190" s="149" t="s">
        <v>728</v>
      </c>
      <c r="R190" s="154" t="s">
        <v>950</v>
      </c>
      <c r="S190" s="187">
        <v>0.60763888888888884</v>
      </c>
      <c r="T190" s="187">
        <v>0.60763888888888884</v>
      </c>
      <c r="U190" s="187">
        <v>0.60763888888888884</v>
      </c>
      <c r="V190" s="187">
        <v>0.625</v>
      </c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0.41666666666666785</v>
      </c>
      <c r="Z190" s="153">
        <f>IFERROR((PA[[#This Row],[Work Completiuon time on fualt]]-PA[[#This Row],[Fault Time]])*24,"")</f>
        <v>0.41666666666666785</v>
      </c>
      <c r="AA190" s="316" t="s">
        <v>951</v>
      </c>
      <c r="AB190" s="149" t="s">
        <v>769</v>
      </c>
      <c r="AC190" s="152">
        <f>IFERROR(PA[[#This Row],[Breakdown Time]]*PA[[#This Row],[Plant Equivalent Weightage]],)</f>
        <v>0.41553052924217576</v>
      </c>
      <c r="AD190" s="153">
        <v>0.23499999999999999</v>
      </c>
      <c r="AE190" s="163">
        <f>IFERROR(_xlfn.XLOOKUP(PA[[#This Row],[Month Year]],'Modelling New'!$D:$D,'Modelling New'!$O:$O)*M190*PA[[#This Row],[Lost PoA(kWh/m2)]],"")</f>
        <v>4116.7217458267733</v>
      </c>
      <c r="AF190" s="150"/>
      <c r="AG190" s="150"/>
      <c r="AH190" s="150"/>
    </row>
    <row r="191" spans="1:34" x14ac:dyDescent="0.25">
      <c r="A191" s="147">
        <f t="shared" si="3"/>
        <v>188</v>
      </c>
      <c r="B191" s="183">
        <v>45868</v>
      </c>
      <c r="C191" s="180">
        <f>YEAR(PA[[#This Row],[Date]])+IF(MONTH(PA[[#This Row],[Date]])&gt;=4,1,0)</f>
        <v>2026</v>
      </c>
      <c r="D191" s="155">
        <f>YEAR(PA[[#This Row],[Date]])</f>
        <v>2025</v>
      </c>
      <c r="E191" s="149" t="s">
        <v>4</v>
      </c>
      <c r="F191" s="149" t="s">
        <v>4</v>
      </c>
      <c r="G191" s="314">
        <f>PA[[#This Row],[Date]]-DAY(PA[[#This Row],[Date]])+1</f>
        <v>45839</v>
      </c>
      <c r="H191" s="155">
        <f>DAY(EOMONTH(PA[[#This Row],[Month Year]],0))</f>
        <v>31</v>
      </c>
      <c r="I191" s="151">
        <f>_xlfn.XLOOKUP(PA[[#This Row],[Date]],RD[Date],RD[Sunrise Time (POA&gt;20 W/m2)],0)</f>
        <v>0.28055555555555556</v>
      </c>
      <c r="J191" s="151">
        <f>_xlfn.XLOOKUP(PA[[#This Row],[Date]],RD[Date],RD[Sunset Time (POA&lt;20 W/m2)],0)</f>
        <v>0.7729166666666667</v>
      </c>
      <c r="K191" s="152">
        <f>IFERROR((PA[[#This Row],[Sunset Time (POA&lt;20 W/m2)]]-PA[[#This Row],[Sunrise Time (POA&gt;20 W/m2)]])*24,"")</f>
        <v>11.816666666666666</v>
      </c>
      <c r="L191" s="166" t="s">
        <v>209</v>
      </c>
      <c r="M191" s="180">
        <v>24213.794999999998</v>
      </c>
      <c r="N191" s="181">
        <v>0.99727327018121903</v>
      </c>
      <c r="O191" s="166" t="s">
        <v>209</v>
      </c>
      <c r="P191" s="149" t="s">
        <v>208</v>
      </c>
      <c r="Q191" s="149" t="s">
        <v>728</v>
      </c>
      <c r="R191" s="154" t="s">
        <v>950</v>
      </c>
      <c r="S191" s="187">
        <v>0.65972222222222221</v>
      </c>
      <c r="T191" s="187">
        <v>0.65972222222222221</v>
      </c>
      <c r="U191" s="187">
        <v>0.65972222222222221</v>
      </c>
      <c r="V191" s="187">
        <v>0.67222222222222228</v>
      </c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0.3000000000000016</v>
      </c>
      <c r="Z191" s="153">
        <f>IFERROR((PA[[#This Row],[Work Completiuon time on fualt]]-PA[[#This Row],[Fault Time]])*24,"")</f>
        <v>0.3000000000000016</v>
      </c>
      <c r="AA191" s="316" t="s">
        <v>951</v>
      </c>
      <c r="AB191" s="149" t="s">
        <v>769</v>
      </c>
      <c r="AC191" s="152">
        <f>IFERROR(PA[[#This Row],[Breakdown Time]]*PA[[#This Row],[Plant Equivalent Weightage]],)</f>
        <v>0.29918198105436733</v>
      </c>
      <c r="AD191" s="153">
        <v>4.2999999999999997E-2</v>
      </c>
      <c r="AE191" s="163">
        <f>IFERROR(_xlfn.XLOOKUP(PA[[#This Row],[Month Year]],'Modelling New'!$D:$D,'Modelling New'!$O:$O)*M191*PA[[#This Row],[Lost PoA(kWh/m2)]],"")</f>
        <v>753.27248966192019</v>
      </c>
      <c r="AF191" s="150"/>
      <c r="AG191" s="150"/>
      <c r="AH191" s="150"/>
    </row>
    <row r="192" spans="1:34" x14ac:dyDescent="0.25">
      <c r="A192" s="147">
        <f t="shared" si="3"/>
        <v>189</v>
      </c>
      <c r="B192" s="183">
        <v>45868</v>
      </c>
      <c r="C192" s="180">
        <f>YEAR(PA[[#This Row],[Date]])+IF(MONTH(PA[[#This Row],[Date]])&gt;=4,1,0)</f>
        <v>2026</v>
      </c>
      <c r="D192" s="155">
        <f>YEAR(PA[[#This Row],[Date]])</f>
        <v>2025</v>
      </c>
      <c r="E192" s="149" t="s">
        <v>4</v>
      </c>
      <c r="F192" s="149" t="s">
        <v>4</v>
      </c>
      <c r="G192" s="314">
        <f>PA[[#This Row],[Date]]-DAY(PA[[#This Row],[Date]])+1</f>
        <v>45839</v>
      </c>
      <c r="H192" s="155">
        <f>DAY(EOMONTH(PA[[#This Row],[Month Year]],0))</f>
        <v>31</v>
      </c>
      <c r="I192" s="151">
        <f>_xlfn.XLOOKUP(PA[[#This Row],[Date]],RD[Date],RD[Sunrise Time (POA&gt;20 W/m2)],0)</f>
        <v>0.28055555555555556</v>
      </c>
      <c r="J192" s="151">
        <f>_xlfn.XLOOKUP(PA[[#This Row],[Date]],RD[Date],RD[Sunset Time (POA&lt;20 W/m2)],0)</f>
        <v>0.7729166666666667</v>
      </c>
      <c r="K192" s="152">
        <f>IFERROR((PA[[#This Row],[Sunset Time (POA&lt;20 W/m2)]]-PA[[#This Row],[Sunrise Time (POA&gt;20 W/m2)]])*24,"")</f>
        <v>11.816666666666666</v>
      </c>
      <c r="L192" s="166" t="s">
        <v>515</v>
      </c>
      <c r="M192" s="180">
        <f>IFERROR(VLOOKUP(PA[[#This Row],[Affceted Equipment]],'Basic Data'!$A$2:$B$125,2,0),"")</f>
        <v>6.5</v>
      </c>
      <c r="N192" s="181">
        <f>IFERROR(VLOOKUP(PA[[#This Row],[Affceted Equipment]],'Basic Data'!$A$1:$C$128,3,0),"")</f>
        <v>2.6771004942339376E-4</v>
      </c>
      <c r="O192" s="166" t="s">
        <v>924</v>
      </c>
      <c r="P192" s="149" t="s">
        <v>674</v>
      </c>
      <c r="Q192" s="149" t="s">
        <v>674</v>
      </c>
      <c r="R192" s="149" t="s">
        <v>955</v>
      </c>
      <c r="S192" s="187">
        <v>0.45833333333333331</v>
      </c>
      <c r="T192" s="187">
        <v>0.45833333333333331</v>
      </c>
      <c r="U192" s="187">
        <v>0.45833333333333331</v>
      </c>
      <c r="V192" s="187">
        <v>0.66666666666666663</v>
      </c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5</v>
      </c>
      <c r="Z192" s="153">
        <f>IFERROR((PA[[#This Row],[Work Completiuon time on fualt]]-PA[[#This Row],[Fault Time]])*24,"")</f>
        <v>5</v>
      </c>
      <c r="AA192" s="311" t="s">
        <v>920</v>
      </c>
      <c r="AB192" s="149" t="s">
        <v>769</v>
      </c>
      <c r="AC192" s="152">
        <f>IFERROR(PA[[#This Row],[Breakdown Time]]*PA[[#This Row],[Plant Equivalent Weightage]],)</f>
        <v>1.3385502471169688E-3</v>
      </c>
      <c r="AD192" s="153">
        <v>1.98</v>
      </c>
      <c r="AE192" s="163">
        <f>IFERROR(_xlfn.XLOOKUP(PA[[#This Row],[Month Year]],'Modelling New'!$D:$D,'Modelling New'!$O:$O)*M192*PA[[#This Row],[Lost PoA(kWh/m2)]],"")</f>
        <v>9.3110645378925661</v>
      </c>
      <c r="AF192" s="150"/>
      <c r="AG192" s="150"/>
      <c r="AH192" s="150"/>
    </row>
    <row r="193" spans="1:34" x14ac:dyDescent="0.25">
      <c r="A193" s="147">
        <f t="shared" si="3"/>
        <v>190</v>
      </c>
      <c r="B193" s="183">
        <v>45868</v>
      </c>
      <c r="C193" s="180">
        <f>YEAR(PA[[#This Row],[Date]])+IF(MONTH(PA[[#This Row],[Date]])&gt;=4,1,0)</f>
        <v>2026</v>
      </c>
      <c r="D193" s="155">
        <f>YEAR(PA[[#This Row],[Date]])</f>
        <v>2025</v>
      </c>
      <c r="E193" s="149" t="s">
        <v>4</v>
      </c>
      <c r="F193" s="149" t="s">
        <v>4</v>
      </c>
      <c r="G193" s="314">
        <f>PA[[#This Row],[Date]]-DAY(PA[[#This Row],[Date]])+1</f>
        <v>45839</v>
      </c>
      <c r="H193" s="155">
        <f>DAY(EOMONTH(PA[[#This Row],[Month Year]],0))</f>
        <v>31</v>
      </c>
      <c r="I193" s="151">
        <f>_xlfn.XLOOKUP(PA[[#This Row],[Date]],RD[Date],RD[Sunrise Time (POA&gt;20 W/m2)],0)</f>
        <v>0.28055555555555556</v>
      </c>
      <c r="J193" s="151">
        <f>_xlfn.XLOOKUP(PA[[#This Row],[Date]],RD[Date],RD[Sunset Time (POA&lt;20 W/m2)],0)</f>
        <v>0.7729166666666667</v>
      </c>
      <c r="K193" s="152">
        <f>IFERROR((PA[[#This Row],[Sunset Time (POA&lt;20 W/m2)]]-PA[[#This Row],[Sunrise Time (POA&gt;20 W/m2)]])*24,"")</f>
        <v>11.816666666666666</v>
      </c>
      <c r="L193" s="166" t="s">
        <v>515</v>
      </c>
      <c r="M193" s="180">
        <f>IFERROR(VLOOKUP(PA[[#This Row],[Affceted Equipment]],'Basic Data'!$A$2:$B$125,2,0),"")</f>
        <v>6.5</v>
      </c>
      <c r="N193" s="181">
        <f>IFERROR(VLOOKUP(PA[[#This Row],[Affceted Equipment]],'Basic Data'!$A$1:$C$128,3,0),"")</f>
        <v>2.6771004942339376E-4</v>
      </c>
      <c r="O193" s="166" t="s">
        <v>924</v>
      </c>
      <c r="P193" s="149" t="s">
        <v>674</v>
      </c>
      <c r="Q193" s="149" t="s">
        <v>674</v>
      </c>
      <c r="R193" s="149" t="s">
        <v>956</v>
      </c>
      <c r="S193" s="187">
        <v>0.45833333333333331</v>
      </c>
      <c r="T193" s="187">
        <v>0.45833333333333331</v>
      </c>
      <c r="U193" s="187">
        <v>0.45833333333333331</v>
      </c>
      <c r="V193" s="187">
        <v>0.66666666666666663</v>
      </c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5</v>
      </c>
      <c r="Z193" s="153">
        <f>IFERROR((PA[[#This Row],[Work Completiuon time on fualt]]-PA[[#This Row],[Fault Time]])*24,"")</f>
        <v>5</v>
      </c>
      <c r="AA193" s="311" t="s">
        <v>920</v>
      </c>
      <c r="AB193" s="149" t="s">
        <v>769</v>
      </c>
      <c r="AC193" s="152">
        <f>IFERROR(PA[[#This Row],[Breakdown Time]]*PA[[#This Row],[Plant Equivalent Weightage]],)</f>
        <v>1.3385502471169688E-3</v>
      </c>
      <c r="AD193" s="153">
        <v>1.98</v>
      </c>
      <c r="AE193" s="163">
        <f>IFERROR(_xlfn.XLOOKUP(PA[[#This Row],[Month Year]],'Modelling New'!$D:$D,'Modelling New'!$O:$O)*M193*PA[[#This Row],[Lost PoA(kWh/m2)]],"")</f>
        <v>9.3110645378925661</v>
      </c>
      <c r="AF193" s="150"/>
      <c r="AG193" s="150"/>
      <c r="AH193" s="150"/>
    </row>
    <row r="194" spans="1:34" x14ac:dyDescent="0.25">
      <c r="A194" s="147">
        <f t="shared" si="3"/>
        <v>191</v>
      </c>
      <c r="B194" s="183">
        <v>45868</v>
      </c>
      <c r="C194" s="180">
        <f>YEAR(PA[[#This Row],[Date]])+IF(MONTH(PA[[#This Row],[Date]])&gt;=4,1,0)</f>
        <v>2026</v>
      </c>
      <c r="D194" s="155">
        <f>YEAR(PA[[#This Row],[Date]])</f>
        <v>2025</v>
      </c>
      <c r="E194" s="149" t="s">
        <v>4</v>
      </c>
      <c r="F194" s="149" t="s">
        <v>4</v>
      </c>
      <c r="G194" s="314">
        <f>PA[[#This Row],[Date]]-DAY(PA[[#This Row],[Date]])+1</f>
        <v>45839</v>
      </c>
      <c r="H194" s="155">
        <f>DAY(EOMONTH(PA[[#This Row],[Month Year]],0))</f>
        <v>31</v>
      </c>
      <c r="I194" s="151">
        <f>_xlfn.XLOOKUP(PA[[#This Row],[Date]],RD[Date],RD[Sunrise Time (POA&gt;20 W/m2)],0)</f>
        <v>0.28055555555555556</v>
      </c>
      <c r="J194" s="151">
        <f>_xlfn.XLOOKUP(PA[[#This Row],[Date]],RD[Date],RD[Sunset Time (POA&lt;20 W/m2)],0)</f>
        <v>0.7729166666666667</v>
      </c>
      <c r="K194" s="152">
        <f>IFERROR((PA[[#This Row],[Sunset Time (POA&lt;20 W/m2)]]-PA[[#This Row],[Sunrise Time (POA&gt;20 W/m2)]])*24,"")</f>
        <v>11.816666666666666</v>
      </c>
      <c r="L194" s="166" t="s">
        <v>515</v>
      </c>
      <c r="M194" s="180">
        <f>IFERROR(VLOOKUP(PA[[#This Row],[Affceted Equipment]],'Basic Data'!$A$2:$B$125,2,0),"")</f>
        <v>6.5</v>
      </c>
      <c r="N194" s="181">
        <f>IFERROR(VLOOKUP(PA[[#This Row],[Affceted Equipment]],'Basic Data'!$A$1:$C$128,3,0),"")</f>
        <v>2.6771004942339376E-4</v>
      </c>
      <c r="O194" s="166" t="s">
        <v>954</v>
      </c>
      <c r="P194" s="149" t="s">
        <v>674</v>
      </c>
      <c r="Q194" s="149" t="s">
        <v>674</v>
      </c>
      <c r="R194" s="149" t="s">
        <v>957</v>
      </c>
      <c r="S194" s="187">
        <v>0.45833333333333331</v>
      </c>
      <c r="T194" s="187">
        <v>0.45833333333333331</v>
      </c>
      <c r="U194" s="187">
        <v>0.45833333333333331</v>
      </c>
      <c r="V194" s="187">
        <v>0.66666666666666663</v>
      </c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5</v>
      </c>
      <c r="Z194" s="153">
        <f>IFERROR((PA[[#This Row],[Work Completiuon time on fualt]]-PA[[#This Row],[Fault Time]])*24,"")</f>
        <v>5</v>
      </c>
      <c r="AA194" s="311" t="s">
        <v>920</v>
      </c>
      <c r="AB194" s="149" t="s">
        <v>769</v>
      </c>
      <c r="AC194" s="152">
        <f>IFERROR(PA[[#This Row],[Breakdown Time]]*PA[[#This Row],[Plant Equivalent Weightage]],)</f>
        <v>1.3385502471169688E-3</v>
      </c>
      <c r="AD194" s="153">
        <v>1.98</v>
      </c>
      <c r="AE194" s="163">
        <f>IFERROR(_xlfn.XLOOKUP(PA[[#This Row],[Month Year]],'Modelling New'!$D:$D,'Modelling New'!$O:$O)*M194*PA[[#This Row],[Lost PoA(kWh/m2)]],"")</f>
        <v>9.3110645378925661</v>
      </c>
      <c r="AF194" s="150"/>
      <c r="AG194" s="150"/>
      <c r="AH194" s="150"/>
    </row>
    <row r="195" spans="1:34" x14ac:dyDescent="0.25">
      <c r="A195" s="147">
        <f t="shared" si="3"/>
        <v>192</v>
      </c>
      <c r="B195" s="183">
        <v>45868</v>
      </c>
      <c r="C195" s="180">
        <f>YEAR(PA[[#This Row],[Date]])+IF(MONTH(PA[[#This Row],[Date]])&gt;=4,1,0)</f>
        <v>2026</v>
      </c>
      <c r="D195" s="155">
        <f>YEAR(PA[[#This Row],[Date]])</f>
        <v>2025</v>
      </c>
      <c r="E195" s="149" t="s">
        <v>4</v>
      </c>
      <c r="F195" s="149" t="s">
        <v>4</v>
      </c>
      <c r="G195" s="314">
        <f>PA[[#This Row],[Date]]-DAY(PA[[#This Row],[Date]])+1</f>
        <v>45839</v>
      </c>
      <c r="H195" s="155">
        <f>DAY(EOMONTH(PA[[#This Row],[Month Year]],0))</f>
        <v>31</v>
      </c>
      <c r="I195" s="151">
        <f>_xlfn.XLOOKUP(PA[[#This Row],[Date]],RD[Date],RD[Sunrise Time (POA&gt;20 W/m2)],0)</f>
        <v>0.28055555555555556</v>
      </c>
      <c r="J195" s="151">
        <f>_xlfn.XLOOKUP(PA[[#This Row],[Date]],RD[Date],RD[Sunset Time (POA&lt;20 W/m2)],0)</f>
        <v>0.7729166666666667</v>
      </c>
      <c r="K195" s="152">
        <f>IFERROR((PA[[#This Row],[Sunset Time (POA&lt;20 W/m2)]]-PA[[#This Row],[Sunrise Time (POA&gt;20 W/m2)]])*24,"")</f>
        <v>11.816666666666666</v>
      </c>
      <c r="L195" s="166" t="s">
        <v>515</v>
      </c>
      <c r="M195" s="180">
        <f>IFERROR(VLOOKUP(PA[[#This Row],[Affceted Equipment]],'Basic Data'!$A$2:$B$125,2,0),"")</f>
        <v>6.5</v>
      </c>
      <c r="N195" s="181">
        <f>IFERROR(VLOOKUP(PA[[#This Row],[Affceted Equipment]],'Basic Data'!$A$1:$C$128,3,0),"")</f>
        <v>2.6771004942339376E-4</v>
      </c>
      <c r="O195" s="166" t="s">
        <v>954</v>
      </c>
      <c r="P195" s="149" t="s">
        <v>674</v>
      </c>
      <c r="Q195" s="149" t="s">
        <v>674</v>
      </c>
      <c r="R195" s="149" t="s">
        <v>958</v>
      </c>
      <c r="S195" s="187">
        <v>0.45833333333333331</v>
      </c>
      <c r="T195" s="187">
        <v>0.45833333333333331</v>
      </c>
      <c r="U195" s="187">
        <v>0.45833333333333331</v>
      </c>
      <c r="V195" s="187">
        <v>0.66666666666666663</v>
      </c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5</v>
      </c>
      <c r="Z195" s="153">
        <f>IFERROR((PA[[#This Row],[Work Completiuon time on fualt]]-PA[[#This Row],[Fault Time]])*24,"")</f>
        <v>5</v>
      </c>
      <c r="AA195" s="311" t="s">
        <v>920</v>
      </c>
      <c r="AB195" s="149" t="s">
        <v>769</v>
      </c>
      <c r="AC195" s="152">
        <f>IFERROR(PA[[#This Row],[Breakdown Time]]*PA[[#This Row],[Plant Equivalent Weightage]],)</f>
        <v>1.3385502471169688E-3</v>
      </c>
      <c r="AD195" s="153">
        <v>1.98</v>
      </c>
      <c r="AE195" s="163">
        <f>IFERROR(_xlfn.XLOOKUP(PA[[#This Row],[Month Year]],'Modelling New'!$D:$D,'Modelling New'!$O:$O)*M195*PA[[#This Row],[Lost PoA(kWh/m2)]],"")</f>
        <v>9.3110645378925661</v>
      </c>
      <c r="AF195" s="150"/>
      <c r="AG195" s="150"/>
      <c r="AH195" s="150"/>
    </row>
    <row r="196" spans="1:34" x14ac:dyDescent="0.25">
      <c r="A196" s="147">
        <f t="shared" si="3"/>
        <v>193</v>
      </c>
      <c r="B196" s="183">
        <v>45868</v>
      </c>
      <c r="C196" s="180">
        <f>YEAR(PA[[#This Row],[Date]])+IF(MONTH(PA[[#This Row],[Date]])&gt;=4,1,0)</f>
        <v>2026</v>
      </c>
      <c r="D196" s="155">
        <f>YEAR(PA[[#This Row],[Date]])</f>
        <v>2025</v>
      </c>
      <c r="E196" s="149" t="s">
        <v>4</v>
      </c>
      <c r="F196" s="149" t="s">
        <v>4</v>
      </c>
      <c r="G196" s="314">
        <f>PA[[#This Row],[Date]]-DAY(PA[[#This Row],[Date]])+1</f>
        <v>45839</v>
      </c>
      <c r="H196" s="155">
        <f>DAY(EOMONTH(PA[[#This Row],[Month Year]],0))</f>
        <v>31</v>
      </c>
      <c r="I196" s="151">
        <f>_xlfn.XLOOKUP(PA[[#This Row],[Date]],RD[Date],RD[Sunrise Time (POA&gt;20 W/m2)],0)</f>
        <v>0.28055555555555556</v>
      </c>
      <c r="J196" s="151">
        <f>_xlfn.XLOOKUP(PA[[#This Row],[Date]],RD[Date],RD[Sunset Time (POA&lt;20 W/m2)],0)</f>
        <v>0.7729166666666667</v>
      </c>
      <c r="K196" s="152">
        <f>IFERROR((PA[[#This Row],[Sunset Time (POA&lt;20 W/m2)]]-PA[[#This Row],[Sunrise Time (POA&gt;20 W/m2)]])*24,"")</f>
        <v>11.816666666666666</v>
      </c>
      <c r="L196" s="166" t="s">
        <v>515</v>
      </c>
      <c r="M196" s="180">
        <f>IFERROR(VLOOKUP(PA[[#This Row],[Affceted Equipment]],'Basic Data'!$A$2:$B$125,2,0),"")</f>
        <v>6.5</v>
      </c>
      <c r="N196" s="181">
        <f>IFERROR(VLOOKUP(PA[[#This Row],[Affceted Equipment]],'Basic Data'!$A$1:$C$128,3,0),"")</f>
        <v>2.6771004942339376E-4</v>
      </c>
      <c r="O196" s="166" t="s">
        <v>954</v>
      </c>
      <c r="P196" s="149" t="s">
        <v>674</v>
      </c>
      <c r="Q196" s="149" t="s">
        <v>674</v>
      </c>
      <c r="R196" s="149" t="s">
        <v>959</v>
      </c>
      <c r="S196" s="187">
        <v>0.45833333333333331</v>
      </c>
      <c r="T196" s="187">
        <v>0.45833333333333331</v>
      </c>
      <c r="U196" s="187">
        <v>0.45833333333333331</v>
      </c>
      <c r="V196" s="187">
        <v>0.66666666666666663</v>
      </c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5</v>
      </c>
      <c r="Z196" s="153">
        <f>IFERROR((PA[[#This Row],[Work Completiuon time on fualt]]-PA[[#This Row],[Fault Time]])*24,"")</f>
        <v>5</v>
      </c>
      <c r="AA196" s="311" t="s">
        <v>920</v>
      </c>
      <c r="AB196" s="149" t="s">
        <v>769</v>
      </c>
      <c r="AC196" s="152">
        <f>IFERROR(PA[[#This Row],[Breakdown Time]]*PA[[#This Row],[Plant Equivalent Weightage]],)</f>
        <v>1.3385502471169688E-3</v>
      </c>
      <c r="AD196" s="153">
        <v>1.98</v>
      </c>
      <c r="AE196" s="163">
        <f>IFERROR(_xlfn.XLOOKUP(PA[[#This Row],[Month Year]],'Modelling New'!$D:$D,'Modelling New'!$O:$O)*M196*PA[[#This Row],[Lost PoA(kWh/m2)]],"")</f>
        <v>9.3110645378925661</v>
      </c>
      <c r="AF196" s="150"/>
      <c r="AG196" s="150"/>
      <c r="AH196" s="150"/>
    </row>
    <row r="197" spans="1:34" x14ac:dyDescent="0.25">
      <c r="A197" s="147">
        <f t="shared" si="3"/>
        <v>194</v>
      </c>
      <c r="B197" s="183">
        <v>45868</v>
      </c>
      <c r="C197" s="180">
        <f>YEAR(PA[[#This Row],[Date]])+IF(MONTH(PA[[#This Row],[Date]])&gt;=4,1,0)</f>
        <v>2026</v>
      </c>
      <c r="D197" s="155">
        <f>YEAR(PA[[#This Row],[Date]])</f>
        <v>2025</v>
      </c>
      <c r="E197" s="149" t="s">
        <v>4</v>
      </c>
      <c r="F197" s="149" t="s">
        <v>4</v>
      </c>
      <c r="G197" s="314">
        <f>PA[[#This Row],[Date]]-DAY(PA[[#This Row],[Date]])+1</f>
        <v>45839</v>
      </c>
      <c r="H197" s="155">
        <f>DAY(EOMONTH(PA[[#This Row],[Month Year]],0))</f>
        <v>31</v>
      </c>
      <c r="I197" s="151">
        <f>_xlfn.XLOOKUP(PA[[#This Row],[Date]],RD[Date],RD[Sunrise Time (POA&gt;20 W/m2)],0)</f>
        <v>0.28055555555555556</v>
      </c>
      <c r="J197" s="151">
        <f>_xlfn.XLOOKUP(PA[[#This Row],[Date]],RD[Date],RD[Sunset Time (POA&lt;20 W/m2)],0)</f>
        <v>0.7729166666666667</v>
      </c>
      <c r="K197" s="152">
        <f>IFERROR((PA[[#This Row],[Sunset Time (POA&lt;20 W/m2)]]-PA[[#This Row],[Sunrise Time (POA&gt;20 W/m2)]])*24,"")</f>
        <v>11.816666666666666</v>
      </c>
      <c r="L197" s="166" t="s">
        <v>515</v>
      </c>
      <c r="M197" s="180">
        <f>IFERROR(VLOOKUP(PA[[#This Row],[Affceted Equipment]],'Basic Data'!$A$2:$B$125,2,0),"")</f>
        <v>6.5</v>
      </c>
      <c r="N197" s="181">
        <f>IFERROR(VLOOKUP(PA[[#This Row],[Affceted Equipment]],'Basic Data'!$A$1:$C$128,3,0),"")</f>
        <v>2.6771004942339376E-4</v>
      </c>
      <c r="O197" s="166" t="s">
        <v>954</v>
      </c>
      <c r="P197" s="149" t="s">
        <v>674</v>
      </c>
      <c r="Q197" s="149" t="s">
        <v>674</v>
      </c>
      <c r="R197" s="149" t="s">
        <v>960</v>
      </c>
      <c r="S197" s="187">
        <v>0.45833333333333331</v>
      </c>
      <c r="T197" s="187">
        <v>0.45833333333333331</v>
      </c>
      <c r="U197" s="187">
        <v>0.45833333333333331</v>
      </c>
      <c r="V197" s="187">
        <v>0.66666666666666663</v>
      </c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5</v>
      </c>
      <c r="Z197" s="153">
        <f>IFERROR((PA[[#This Row],[Work Completiuon time on fualt]]-PA[[#This Row],[Fault Time]])*24,"")</f>
        <v>5</v>
      </c>
      <c r="AA197" s="311" t="s">
        <v>920</v>
      </c>
      <c r="AB197" s="149" t="s">
        <v>769</v>
      </c>
      <c r="AC197" s="152">
        <f>IFERROR(PA[[#This Row],[Breakdown Time]]*PA[[#This Row],[Plant Equivalent Weightage]],)</f>
        <v>1.3385502471169688E-3</v>
      </c>
      <c r="AD197" s="153">
        <v>1.98</v>
      </c>
      <c r="AE197" s="163">
        <f>IFERROR(_xlfn.XLOOKUP(PA[[#This Row],[Month Year]],'Modelling New'!$D:$D,'Modelling New'!$O:$O)*M197*PA[[#This Row],[Lost PoA(kWh/m2)]],"")</f>
        <v>9.3110645378925661</v>
      </c>
      <c r="AF197" s="150"/>
      <c r="AG197" s="150"/>
      <c r="AH197" s="150"/>
    </row>
    <row r="198" spans="1:34" x14ac:dyDescent="0.25">
      <c r="A198" s="147">
        <f t="shared" si="3"/>
        <v>195</v>
      </c>
      <c r="B198" s="183">
        <v>45869</v>
      </c>
      <c r="C198" s="180">
        <f>YEAR(PA[[#This Row],[Date]])+IF(MONTH(PA[[#This Row],[Date]])&gt;=4,1,0)</f>
        <v>2026</v>
      </c>
      <c r="D198" s="155">
        <f>YEAR(PA[[#This Row],[Date]])</f>
        <v>2025</v>
      </c>
      <c r="E198" s="149" t="s">
        <v>4</v>
      </c>
      <c r="F198" s="149" t="s">
        <v>4</v>
      </c>
      <c r="G198" s="314">
        <f>PA[[#This Row],[Date]]-DAY(PA[[#This Row],[Date]])+1</f>
        <v>45839</v>
      </c>
      <c r="H198" s="155">
        <f>DAY(EOMONTH(PA[[#This Row],[Month Year]],0))</f>
        <v>31</v>
      </c>
      <c r="I198" s="151">
        <f>_xlfn.XLOOKUP(PA[[#This Row],[Date]],RD[Date],RD[Sunrise Time (POA&gt;20 W/m2)],0)</f>
        <v>0.2722222222222222</v>
      </c>
      <c r="J198" s="151">
        <f>_xlfn.XLOOKUP(PA[[#This Row],[Date]],RD[Date],RD[Sunset Time (POA&lt;20 W/m2)],0)</f>
        <v>0.78472222222222221</v>
      </c>
      <c r="K198" s="152">
        <f>IFERROR((PA[[#This Row],[Sunset Time (POA&lt;20 W/m2)]]-PA[[#This Row],[Sunrise Time (POA&gt;20 W/m2)]])*24,"")</f>
        <v>12.299999999999999</v>
      </c>
      <c r="L198" s="166" t="s">
        <v>514</v>
      </c>
      <c r="M198" s="180">
        <f>IFERROR(VLOOKUP(PA[[#This Row],[Affceted Equipment]],'Basic Data'!$A$2:$B$125,2,0),"")</f>
        <v>6.4</v>
      </c>
      <c r="N198" s="181">
        <f>IFERROR(VLOOKUP(PA[[#This Row],[Affceted Equipment]],'Basic Data'!$A$1:$C$128,3,0),"")</f>
        <v>2.6359143327841849E-4</v>
      </c>
      <c r="O198" s="166" t="s">
        <v>961</v>
      </c>
      <c r="P198" s="149" t="s">
        <v>787</v>
      </c>
      <c r="Q198" s="149" t="s">
        <v>787</v>
      </c>
      <c r="R198" s="149" t="s">
        <v>962</v>
      </c>
      <c r="S198" s="187">
        <v>0.45833333333333331</v>
      </c>
      <c r="T198" s="187">
        <v>0.45833333333333331</v>
      </c>
      <c r="U198" s="187">
        <v>0.45833333333333331</v>
      </c>
      <c r="V198" s="187">
        <v>0.66666666666666663</v>
      </c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5</v>
      </c>
      <c r="Z198" s="153">
        <f>IFERROR((PA[[#This Row],[Work Completiuon time on fualt]]-PA[[#This Row],[Fault Time]])*24,"")</f>
        <v>5</v>
      </c>
      <c r="AA198" s="311" t="s">
        <v>920</v>
      </c>
      <c r="AB198" s="149" t="s">
        <v>769</v>
      </c>
      <c r="AC198" s="152">
        <f>IFERROR(PA[[#This Row],[Breakdown Time]]*PA[[#This Row],[Plant Equivalent Weightage]],)</f>
        <v>1.3179571663920924E-3</v>
      </c>
      <c r="AD198" s="153">
        <v>2.98</v>
      </c>
      <c r="AE198" s="163">
        <f>IFERROR(_xlfn.XLOOKUP(PA[[#This Row],[Month Year]],'Modelling New'!$D:$D,'Modelling New'!$O:$O)*M198*PA[[#This Row],[Lost PoA(kWh/m2)]],"")</f>
        <v>13.798028194769776</v>
      </c>
      <c r="AF198" s="150"/>
      <c r="AG198" s="150"/>
      <c r="AH198" s="150"/>
    </row>
    <row r="199" spans="1:34" x14ac:dyDescent="0.25">
      <c r="A199" s="147">
        <f t="shared" si="3"/>
        <v>196</v>
      </c>
      <c r="B199" s="183">
        <v>45869</v>
      </c>
      <c r="C199" s="180">
        <f>YEAR(PA[[#This Row],[Date]])+IF(MONTH(PA[[#This Row],[Date]])&gt;=4,1,0)</f>
        <v>2026</v>
      </c>
      <c r="D199" s="155">
        <f>YEAR(PA[[#This Row],[Date]])</f>
        <v>2025</v>
      </c>
      <c r="E199" s="149" t="s">
        <v>4</v>
      </c>
      <c r="F199" s="149" t="s">
        <v>4</v>
      </c>
      <c r="G199" s="314">
        <f>PA[[#This Row],[Date]]-DAY(PA[[#This Row],[Date]])+1</f>
        <v>45839</v>
      </c>
      <c r="H199" s="155">
        <f>DAY(EOMONTH(PA[[#This Row],[Month Year]],0))</f>
        <v>31</v>
      </c>
      <c r="I199" s="151">
        <f>_xlfn.XLOOKUP(PA[[#This Row],[Date]],RD[Date],RD[Sunrise Time (POA&gt;20 W/m2)],0)</f>
        <v>0.2722222222222222</v>
      </c>
      <c r="J199" s="151">
        <f>_xlfn.XLOOKUP(PA[[#This Row],[Date]],RD[Date],RD[Sunset Time (POA&lt;20 W/m2)],0)</f>
        <v>0.78472222222222221</v>
      </c>
      <c r="K199" s="152">
        <f>IFERROR((PA[[#This Row],[Sunset Time (POA&lt;20 W/m2)]]-PA[[#This Row],[Sunrise Time (POA&gt;20 W/m2)]])*24,"")</f>
        <v>12.299999999999999</v>
      </c>
      <c r="L199" s="166" t="s">
        <v>514</v>
      </c>
      <c r="M199" s="180">
        <f>IFERROR(VLOOKUP(PA[[#This Row],[Affceted Equipment]],'Basic Data'!$A$2:$B$125,2,0),"")</f>
        <v>6.4</v>
      </c>
      <c r="N199" s="181">
        <f>IFERROR(VLOOKUP(PA[[#This Row],[Affceted Equipment]],'Basic Data'!$A$1:$C$128,3,0),"")</f>
        <v>2.6359143327841849E-4</v>
      </c>
      <c r="O199" s="166" t="s">
        <v>961</v>
      </c>
      <c r="P199" s="149" t="s">
        <v>787</v>
      </c>
      <c r="Q199" s="149" t="s">
        <v>787</v>
      </c>
      <c r="R199" s="149" t="s">
        <v>963</v>
      </c>
      <c r="S199" s="187">
        <v>0.45833333333333331</v>
      </c>
      <c r="T199" s="187">
        <v>0.45833333333333331</v>
      </c>
      <c r="U199" s="187">
        <v>0.45833333333333331</v>
      </c>
      <c r="V199" s="187">
        <v>0.66666666666666663</v>
      </c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5</v>
      </c>
      <c r="Z199" s="153">
        <f>IFERROR((PA[[#This Row],[Work Completiuon time on fualt]]-PA[[#This Row],[Fault Time]])*24,"")</f>
        <v>5</v>
      </c>
      <c r="AA199" s="311" t="s">
        <v>920</v>
      </c>
      <c r="AB199" s="149" t="s">
        <v>769</v>
      </c>
      <c r="AC199" s="152">
        <f>IFERROR(PA[[#This Row],[Breakdown Time]]*PA[[#This Row],[Plant Equivalent Weightage]],)</f>
        <v>1.3179571663920924E-3</v>
      </c>
      <c r="AD199" s="153">
        <v>2.98</v>
      </c>
      <c r="AE199" s="163">
        <f>IFERROR(_xlfn.XLOOKUP(PA[[#This Row],[Month Year]],'Modelling New'!$D:$D,'Modelling New'!$O:$O)*M199*PA[[#This Row],[Lost PoA(kWh/m2)]],"")</f>
        <v>13.798028194769776</v>
      </c>
      <c r="AF199" s="150"/>
      <c r="AG199" s="150"/>
      <c r="AH199" s="150"/>
    </row>
    <row r="200" spans="1:34" x14ac:dyDescent="0.25">
      <c r="A200" s="147">
        <f t="shared" si="3"/>
        <v>197</v>
      </c>
      <c r="B200" s="183">
        <v>45869</v>
      </c>
      <c r="C200" s="180">
        <f>YEAR(PA[[#This Row],[Date]])+IF(MONTH(PA[[#This Row],[Date]])&gt;=4,1,0)</f>
        <v>2026</v>
      </c>
      <c r="D200" s="155">
        <f>YEAR(PA[[#This Row],[Date]])</f>
        <v>2025</v>
      </c>
      <c r="E200" s="149" t="s">
        <v>4</v>
      </c>
      <c r="F200" s="149" t="s">
        <v>4</v>
      </c>
      <c r="G200" s="314">
        <f>PA[[#This Row],[Date]]-DAY(PA[[#This Row],[Date]])+1</f>
        <v>45839</v>
      </c>
      <c r="H200" s="155">
        <f>DAY(EOMONTH(PA[[#This Row],[Month Year]],0))</f>
        <v>31</v>
      </c>
      <c r="I200" s="151">
        <f>_xlfn.XLOOKUP(PA[[#This Row],[Date]],RD[Date],RD[Sunrise Time (POA&gt;20 W/m2)],0)</f>
        <v>0.2722222222222222</v>
      </c>
      <c r="J200" s="151">
        <f>_xlfn.XLOOKUP(PA[[#This Row],[Date]],RD[Date],RD[Sunset Time (POA&lt;20 W/m2)],0)</f>
        <v>0.78472222222222221</v>
      </c>
      <c r="K200" s="152">
        <f>IFERROR((PA[[#This Row],[Sunset Time (POA&lt;20 W/m2)]]-PA[[#This Row],[Sunrise Time (POA&gt;20 W/m2)]])*24,"")</f>
        <v>12.299999999999999</v>
      </c>
      <c r="L200" s="166" t="s">
        <v>514</v>
      </c>
      <c r="M200" s="180">
        <f>IFERROR(VLOOKUP(PA[[#This Row],[Affceted Equipment]],'Basic Data'!$A$2:$B$125,2,0),"")</f>
        <v>6.4</v>
      </c>
      <c r="N200" s="181">
        <f>IFERROR(VLOOKUP(PA[[#This Row],[Affceted Equipment]],'Basic Data'!$A$1:$C$128,3,0),"")</f>
        <v>2.6359143327841849E-4</v>
      </c>
      <c r="O200" s="166" t="s">
        <v>961</v>
      </c>
      <c r="P200" s="149" t="s">
        <v>787</v>
      </c>
      <c r="Q200" s="149" t="s">
        <v>787</v>
      </c>
      <c r="R200" s="149" t="s">
        <v>964</v>
      </c>
      <c r="S200" s="187">
        <v>0.45833333333333331</v>
      </c>
      <c r="T200" s="187">
        <v>0.45833333333333331</v>
      </c>
      <c r="U200" s="187">
        <v>0.45833333333333331</v>
      </c>
      <c r="V200" s="187">
        <v>0.66666666666666663</v>
      </c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5</v>
      </c>
      <c r="Z200" s="153">
        <f>IFERROR((PA[[#This Row],[Work Completiuon time on fualt]]-PA[[#This Row],[Fault Time]])*24,"")</f>
        <v>5</v>
      </c>
      <c r="AA200" s="311" t="s">
        <v>920</v>
      </c>
      <c r="AB200" s="149" t="s">
        <v>769</v>
      </c>
      <c r="AC200" s="152">
        <f>IFERROR(PA[[#This Row],[Breakdown Time]]*PA[[#This Row],[Plant Equivalent Weightage]],)</f>
        <v>1.3179571663920924E-3</v>
      </c>
      <c r="AD200" s="153">
        <v>2.98</v>
      </c>
      <c r="AE200" s="163">
        <f>IFERROR(_xlfn.XLOOKUP(PA[[#This Row],[Month Year]],'Modelling New'!$D:$D,'Modelling New'!$O:$O)*M200*PA[[#This Row],[Lost PoA(kWh/m2)]],"")</f>
        <v>13.798028194769776</v>
      </c>
      <c r="AF200" s="150"/>
      <c r="AG200" s="150"/>
      <c r="AH200" s="150"/>
    </row>
    <row r="201" spans="1:34" x14ac:dyDescent="0.25">
      <c r="A201" s="147">
        <f t="shared" si="3"/>
        <v>198</v>
      </c>
      <c r="B201" s="183">
        <v>45869</v>
      </c>
      <c r="C201" s="180">
        <f>YEAR(PA[[#This Row],[Date]])+IF(MONTH(PA[[#This Row],[Date]])&gt;=4,1,0)</f>
        <v>2026</v>
      </c>
      <c r="D201" s="155">
        <f>YEAR(PA[[#This Row],[Date]])</f>
        <v>2025</v>
      </c>
      <c r="E201" s="149" t="s">
        <v>4</v>
      </c>
      <c r="F201" s="149" t="s">
        <v>4</v>
      </c>
      <c r="G201" s="314">
        <f>PA[[#This Row],[Date]]-DAY(PA[[#This Row],[Date]])+1</f>
        <v>45839</v>
      </c>
      <c r="H201" s="155">
        <f>DAY(EOMONTH(PA[[#This Row],[Month Year]],0))</f>
        <v>31</v>
      </c>
      <c r="I201" s="151">
        <f>_xlfn.XLOOKUP(PA[[#This Row],[Date]],RD[Date],RD[Sunrise Time (POA&gt;20 W/m2)],0)</f>
        <v>0.2722222222222222</v>
      </c>
      <c r="J201" s="151">
        <f>_xlfn.XLOOKUP(PA[[#This Row],[Date]],RD[Date],RD[Sunset Time (POA&lt;20 W/m2)],0)</f>
        <v>0.78472222222222221</v>
      </c>
      <c r="K201" s="152">
        <f>IFERROR((PA[[#This Row],[Sunset Time (POA&lt;20 W/m2)]]-PA[[#This Row],[Sunrise Time (POA&gt;20 W/m2)]])*24,"")</f>
        <v>12.299999999999999</v>
      </c>
      <c r="L201" s="166" t="s">
        <v>514</v>
      </c>
      <c r="M201" s="180">
        <f>IFERROR(VLOOKUP(PA[[#This Row],[Affceted Equipment]],'Basic Data'!$A$2:$B$125,2,0),"")</f>
        <v>6.4</v>
      </c>
      <c r="N201" s="181">
        <f>IFERROR(VLOOKUP(PA[[#This Row],[Affceted Equipment]],'Basic Data'!$A$1:$C$128,3,0),"")</f>
        <v>2.6359143327841849E-4</v>
      </c>
      <c r="O201" s="166" t="s">
        <v>961</v>
      </c>
      <c r="P201" s="149" t="s">
        <v>787</v>
      </c>
      <c r="Q201" s="149" t="s">
        <v>787</v>
      </c>
      <c r="R201" s="149" t="s">
        <v>965</v>
      </c>
      <c r="S201" s="187">
        <v>0.45833333333333331</v>
      </c>
      <c r="T201" s="187">
        <v>0.45833333333333331</v>
      </c>
      <c r="U201" s="187">
        <v>0.45833333333333331</v>
      </c>
      <c r="V201" s="187">
        <v>0.66666666666666663</v>
      </c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5</v>
      </c>
      <c r="Z201" s="153">
        <f>IFERROR((PA[[#This Row],[Work Completiuon time on fualt]]-PA[[#This Row],[Fault Time]])*24,"")</f>
        <v>5</v>
      </c>
      <c r="AA201" s="311" t="s">
        <v>966</v>
      </c>
      <c r="AB201" s="149" t="s">
        <v>769</v>
      </c>
      <c r="AC201" s="152">
        <f>IFERROR(PA[[#This Row],[Breakdown Time]]*PA[[#This Row],[Plant Equivalent Weightage]],)</f>
        <v>1.3179571663920924E-3</v>
      </c>
      <c r="AD201" s="153">
        <v>2.98</v>
      </c>
      <c r="AE201" s="163">
        <f>IFERROR(_xlfn.XLOOKUP(PA[[#This Row],[Month Year]],'Modelling New'!$D:$D,'Modelling New'!$O:$O)*M201*PA[[#This Row],[Lost PoA(kWh/m2)]],"")</f>
        <v>13.798028194769776</v>
      </c>
      <c r="AF201" s="150"/>
      <c r="AG201" s="150"/>
      <c r="AH201" s="150"/>
    </row>
    <row r="202" spans="1:34" x14ac:dyDescent="0.2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2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2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2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2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2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2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2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2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2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2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2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2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2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2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2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2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2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2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2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2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2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2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2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2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2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2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2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2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2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2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2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2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2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2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2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2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2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2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2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2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2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53" activePane="bottomLeft" state="frozen"/>
      <selection activeCell="C1" sqref="C1"/>
      <selection pane="bottomLeft" activeCell="G64" sqref="G64"/>
    </sheetView>
  </sheetViews>
  <sheetFormatPr defaultColWidth="8.85546875" defaultRowHeight="15" x14ac:dyDescent="0.2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45" x14ac:dyDescent="0.2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2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2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2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2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2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2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2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2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2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2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2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2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2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2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2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2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2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2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2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2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2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2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2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2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2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2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2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2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2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2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2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2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2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2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2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2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2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2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2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2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2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2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2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2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2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2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2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2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2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2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2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2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2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2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2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2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2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2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2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25">
      <c r="A61" s="2">
        <f t="shared" si="0"/>
        <v>60</v>
      </c>
      <c r="B61" s="2" t="s">
        <v>843</v>
      </c>
      <c r="C61" s="2">
        <v>2025</v>
      </c>
      <c r="D61" s="2">
        <v>3</v>
      </c>
      <c r="E61" s="2"/>
      <c r="F61" s="39" t="s">
        <v>325</v>
      </c>
      <c r="G61" s="2">
        <f>DAY(EOMONTH(Spare[[#This Row],[Date]], 0))</f>
        <v>31</v>
      </c>
      <c r="H61" s="40">
        <v>45868</v>
      </c>
      <c r="I61" t="s">
        <v>841</v>
      </c>
      <c r="J61" s="6">
        <v>430</v>
      </c>
      <c r="K61" t="s">
        <v>36</v>
      </c>
      <c r="L61" t="s">
        <v>834</v>
      </c>
    </row>
    <row r="62" spans="1:12" x14ac:dyDescent="0.25">
      <c r="A62" s="2">
        <f t="shared" si="0"/>
        <v>61</v>
      </c>
      <c r="B62" s="2" t="s">
        <v>843</v>
      </c>
      <c r="C62" s="2">
        <v>2025</v>
      </c>
      <c r="D62" s="2">
        <v>3</v>
      </c>
      <c r="E62" s="2"/>
      <c r="F62" s="39" t="s">
        <v>325</v>
      </c>
      <c r="G62" s="2">
        <f>DAY(EOMONTH(Spare[[#This Row],[Date]], 0))</f>
        <v>31</v>
      </c>
      <c r="H62" s="40">
        <v>45868</v>
      </c>
      <c r="I62" t="s">
        <v>836</v>
      </c>
      <c r="J62" s="6">
        <v>2</v>
      </c>
      <c r="K62" t="s">
        <v>36</v>
      </c>
      <c r="L62" t="s">
        <v>834</v>
      </c>
    </row>
    <row r="63" spans="1:12" x14ac:dyDescent="0.25">
      <c r="A63" s="2">
        <f t="shared" si="0"/>
        <v>62</v>
      </c>
      <c r="B63" s="2" t="s">
        <v>843</v>
      </c>
      <c r="C63" s="2">
        <v>2025</v>
      </c>
      <c r="D63" s="2">
        <v>3</v>
      </c>
      <c r="E63" s="2"/>
      <c r="F63" s="39" t="s">
        <v>325</v>
      </c>
      <c r="G63" s="2">
        <f>DAY(EOMONTH(Spare[[#This Row],[Date]], 0))</f>
        <v>31</v>
      </c>
      <c r="H63" s="40">
        <v>45868</v>
      </c>
      <c r="I63" t="s">
        <v>835</v>
      </c>
      <c r="J63" s="6">
        <v>6</v>
      </c>
      <c r="K63" t="s">
        <v>36</v>
      </c>
      <c r="L63" t="s">
        <v>834</v>
      </c>
    </row>
    <row r="64" spans="1:12" x14ac:dyDescent="0.25">
      <c r="A64" s="2">
        <f t="shared" si="0"/>
        <v>63</v>
      </c>
      <c r="B64" s="2" t="s">
        <v>843</v>
      </c>
      <c r="C64" s="2">
        <v>2025</v>
      </c>
      <c r="D64" s="2">
        <v>3</v>
      </c>
      <c r="E64" s="2"/>
      <c r="F64" s="39" t="s">
        <v>325</v>
      </c>
      <c r="G64" s="2">
        <f>DAY(EOMONTH(Spare[[#This Row],[Date]], 0))</f>
        <v>31</v>
      </c>
      <c r="H64" s="40">
        <v>45868</v>
      </c>
      <c r="I64" t="s">
        <v>844</v>
      </c>
      <c r="J64" s="6">
        <v>16</v>
      </c>
      <c r="K64" t="s">
        <v>36</v>
      </c>
      <c r="L64" t="s">
        <v>834</v>
      </c>
    </row>
    <row r="65" spans="1:12" x14ac:dyDescent="0.25">
      <c r="A65" s="2">
        <f t="shared" si="0"/>
        <v>64</v>
      </c>
      <c r="B65" s="2" t="s">
        <v>843</v>
      </c>
      <c r="C65" s="2">
        <v>2025</v>
      </c>
      <c r="D65" s="2">
        <v>3</v>
      </c>
      <c r="E65" s="2"/>
      <c r="F65" s="39" t="s">
        <v>325</v>
      </c>
      <c r="G65" s="2">
        <f>DAY(EOMONTH(Spare[[#This Row],[Date]], 0))</f>
        <v>31</v>
      </c>
      <c r="H65" s="40">
        <v>45868</v>
      </c>
      <c r="I65" t="s">
        <v>841</v>
      </c>
      <c r="J65" s="6">
        <v>220</v>
      </c>
      <c r="K65" t="s">
        <v>36</v>
      </c>
      <c r="L65" t="s">
        <v>834</v>
      </c>
    </row>
    <row r="66" spans="1:12" x14ac:dyDescent="0.25">
      <c r="A66" s="2">
        <f t="shared" si="0"/>
        <v>65</v>
      </c>
      <c r="B66" s="2" t="s">
        <v>843</v>
      </c>
      <c r="C66" s="2">
        <v>2025</v>
      </c>
      <c r="D66" s="2">
        <v>3</v>
      </c>
      <c r="E66" s="2"/>
      <c r="F66" s="39" t="s">
        <v>325</v>
      </c>
      <c r="G66" s="2">
        <f>DAY(EOMONTH(Spare[[#This Row],[Date]], 0))</f>
        <v>31</v>
      </c>
      <c r="H66" s="40">
        <v>45869</v>
      </c>
      <c r="I66" t="s">
        <v>844</v>
      </c>
      <c r="J66" s="6">
        <v>8</v>
      </c>
      <c r="K66" t="s">
        <v>36</v>
      </c>
      <c r="L66" t="s">
        <v>834</v>
      </c>
    </row>
    <row r="67" spans="1:12" x14ac:dyDescent="0.25">
      <c r="A67" s="2">
        <f t="shared" si="0"/>
        <v>66</v>
      </c>
      <c r="B67" s="2" t="s">
        <v>843</v>
      </c>
      <c r="C67" s="2">
        <v>2025</v>
      </c>
      <c r="D67" s="2">
        <v>3</v>
      </c>
      <c r="E67" s="2"/>
      <c r="F67" s="39" t="s">
        <v>325</v>
      </c>
      <c r="G67" s="2">
        <f>DAY(EOMONTH(Spare[[#This Row],[Date]], 0))</f>
        <v>31</v>
      </c>
      <c r="H67" s="40">
        <v>45869</v>
      </c>
      <c r="I67" t="s">
        <v>835</v>
      </c>
      <c r="J67" s="6">
        <v>4</v>
      </c>
      <c r="K67" t="s">
        <v>36</v>
      </c>
      <c r="L67" t="s">
        <v>834</v>
      </c>
    </row>
    <row r="68" spans="1:12" x14ac:dyDescent="0.2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2" x14ac:dyDescent="0.2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2" x14ac:dyDescent="0.2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2" x14ac:dyDescent="0.2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2" x14ac:dyDescent="0.2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2" x14ac:dyDescent="0.2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2" x14ac:dyDescent="0.2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2" x14ac:dyDescent="0.2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2" x14ac:dyDescent="0.2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2" x14ac:dyDescent="0.2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2" x14ac:dyDescent="0.2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2" x14ac:dyDescent="0.2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2" x14ac:dyDescent="0.2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2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2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2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2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2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2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2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2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2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2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2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2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2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2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2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2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2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2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2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2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2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2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2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2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2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2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2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2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2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2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2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2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2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2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2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2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2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2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2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2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2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2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2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2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2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2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2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2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2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2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2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2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2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2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2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2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2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2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2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2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2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2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2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2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2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2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2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2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2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2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2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2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2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2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2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2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2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2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2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2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2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2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2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2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2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2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2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2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2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2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2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2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2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2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2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2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2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2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2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2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2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2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2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2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2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2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2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2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2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2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2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2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2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2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2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2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2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2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2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2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2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2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2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2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2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2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2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2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2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2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2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2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2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2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2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2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2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2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2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2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2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2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2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2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2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2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2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2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2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2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2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2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2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2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2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2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2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2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2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2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2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2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2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2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2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2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2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2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2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2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2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2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2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2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2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2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2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2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2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2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2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2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2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2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2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2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2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2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2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2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2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2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2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2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2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2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2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2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2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2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2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2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2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2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2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2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2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2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2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2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2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2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2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2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2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2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2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2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2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2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2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2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2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2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2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2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2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2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2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2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2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2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2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2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2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2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2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2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2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2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2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2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2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2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2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2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2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2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2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2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2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2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2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2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2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2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2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2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2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2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2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2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2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2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2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2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2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2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2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2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2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2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2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2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2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2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2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2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2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2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2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2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2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2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2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2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2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2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2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2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2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2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2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2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2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2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2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2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2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2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2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2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2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2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2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2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2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2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2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2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2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2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2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2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2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2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2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2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2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2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2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2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2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2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2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2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2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2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2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2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2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2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2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2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2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2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2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2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2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2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2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2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2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2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2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2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2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2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2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2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2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2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2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2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2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2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2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2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2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2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2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2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2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2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2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2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2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2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2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2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2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2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2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2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2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2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2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2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2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2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2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2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2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2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2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2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2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2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2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2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2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2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2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2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2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2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2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2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2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2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2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2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2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2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2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2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2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2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2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5546875" defaultRowHeight="15" x14ac:dyDescent="0.2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 x14ac:dyDescent="0.25"/>
    <row r="2" spans="1:38" s="11" customFormat="1" ht="38.25" x14ac:dyDescent="0.2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2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2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2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2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2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2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2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2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2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2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2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2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2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2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2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2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2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2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2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2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2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2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2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2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2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2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2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2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2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2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2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2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2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2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2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2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2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2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2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2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2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2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2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2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2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2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2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2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2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2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2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2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2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2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2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2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2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2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2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2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2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2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5546875" defaultRowHeight="15" x14ac:dyDescent="0.2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 x14ac:dyDescent="0.25"/>
    <row r="2" spans="1:22" ht="25.5" x14ac:dyDescent="0.2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" customHeight="1" x14ac:dyDescent="0.2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2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2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2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2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2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2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2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2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2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2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2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2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2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2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2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2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2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2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2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2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2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2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2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2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2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2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2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2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2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2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2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2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2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2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2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2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2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2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2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2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2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2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2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2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2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2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2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2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2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2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2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2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2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2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2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2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2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2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2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2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2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2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Vaibhav Ashok Todakar</cp:lastModifiedBy>
  <cp:revision/>
  <dcterms:created xsi:type="dcterms:W3CDTF">2015-06-05T18:17:20Z</dcterms:created>
  <dcterms:modified xsi:type="dcterms:W3CDTF">2025-07-31T16:19:22Z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