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akram.najmi\Documents\"/>
    </mc:Choice>
  </mc:AlternateContent>
  <xr:revisionPtr revIDLastSave="0" documentId="13_ncr:1_{92D5F271-9BDD-44E2-8AFE-ED4905731799}" xr6:coauthVersionLast="47" xr6:coauthVersionMax="47" xr10:uidLastSave="{00000000-0000-0000-0000-000000000000}"/>
  <bookViews>
    <workbookView xWindow="-110" yWindow="-110" windowWidth="19420" windowHeight="10300"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0"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72" i="18" l="1"/>
  <c r="B1673" i="18"/>
  <c r="B1674" i="18"/>
  <c r="B1675" i="18"/>
  <c r="B1676" i="18"/>
  <c r="B1677" i="18"/>
  <c r="B1678" i="18"/>
  <c r="B1679" i="18"/>
  <c r="B1680" i="18"/>
  <c r="C1672" i="18"/>
  <c r="C1673" i="18"/>
  <c r="C1674" i="18"/>
  <c r="C1675" i="18"/>
  <c r="C1676" i="18"/>
  <c r="C1677" i="18"/>
  <c r="C1678" i="18"/>
  <c r="C1679" i="18"/>
  <c r="C1680" i="18"/>
  <c r="E1672" i="18"/>
  <c r="E1673" i="18"/>
  <c r="E1674" i="18"/>
  <c r="E1675" i="18"/>
  <c r="E1676" i="18"/>
  <c r="E1677" i="18"/>
  <c r="E1678" i="18"/>
  <c r="E1679" i="18"/>
  <c r="E1680" i="18"/>
  <c r="H1672" i="18"/>
  <c r="H1673" i="18"/>
  <c r="H1674" i="18"/>
  <c r="H1675" i="18"/>
  <c r="H1676" i="18"/>
  <c r="H1677" i="18"/>
  <c r="H1678" i="18"/>
  <c r="H1679" i="18"/>
  <c r="H1680" i="18"/>
  <c r="I1672" i="18"/>
  <c r="I1673" i="18"/>
  <c r="I1674" i="18"/>
  <c r="I1675" i="18"/>
  <c r="I1676" i="18"/>
  <c r="I1677" i="18"/>
  <c r="I1678" i="18"/>
  <c r="I1679" i="18"/>
  <c r="I1680" i="18"/>
  <c r="J1672" i="18"/>
  <c r="J1673" i="18"/>
  <c r="J1674" i="18"/>
  <c r="J1675" i="18"/>
  <c r="J1676" i="18"/>
  <c r="J1677" i="18"/>
  <c r="J1678" i="18"/>
  <c r="J1679" i="18"/>
  <c r="J1680" i="18"/>
  <c r="L1672" i="18"/>
  <c r="L1673" i="18"/>
  <c r="L1674" i="18"/>
  <c r="L1675" i="18"/>
  <c r="L1676" i="18"/>
  <c r="L1677" i="18"/>
  <c r="L1678" i="18"/>
  <c r="L1679" i="18"/>
  <c r="L1680" i="18"/>
  <c r="R1672" i="18"/>
  <c r="R1673" i="18"/>
  <c r="R1674" i="18"/>
  <c r="R1675" i="18"/>
  <c r="R1676" i="18"/>
  <c r="R1677" i="18"/>
  <c r="R1678" i="18"/>
  <c r="R1679" i="18"/>
  <c r="R1680" i="18"/>
  <c r="S1672" i="18"/>
  <c r="S1673" i="18"/>
  <c r="S1674" i="18"/>
  <c r="S1675" i="18"/>
  <c r="S1676" i="18"/>
  <c r="S1677" i="18"/>
  <c r="S1678" i="18"/>
  <c r="S1679" i="18"/>
  <c r="S1680" i="18"/>
  <c r="T1672" i="18"/>
  <c r="T1673" i="18"/>
  <c r="T1674" i="18"/>
  <c r="T1675" i="18"/>
  <c r="T1676" i="18"/>
  <c r="T1677" i="18"/>
  <c r="AA1677" i="18" s="1"/>
  <c r="T1678" i="18"/>
  <c r="AA1678" i="18" s="1"/>
  <c r="T1679" i="18"/>
  <c r="AA1679" i="18" s="1"/>
  <c r="T1680" i="18"/>
  <c r="AA1680" i="18" s="1"/>
  <c r="W1676" i="18"/>
  <c r="W1678" i="18"/>
  <c r="W1680" i="18"/>
  <c r="AA1675" i="18"/>
  <c r="AA1676" i="18"/>
  <c r="B129" i="1"/>
  <c r="C129" i="1"/>
  <c r="D129" i="1"/>
  <c r="E129" i="1"/>
  <c r="BF129" i="1"/>
  <c r="BM129" i="1" s="1"/>
  <c r="BG129" i="1"/>
  <c r="BL129" i="1"/>
  <c r="B1661" i="18"/>
  <c r="B1662" i="18"/>
  <c r="B1663" i="18"/>
  <c r="B1664" i="18"/>
  <c r="B1665" i="18"/>
  <c r="B1666" i="18"/>
  <c r="B1667" i="18"/>
  <c r="B1668" i="18"/>
  <c r="B1669" i="18"/>
  <c r="B1670" i="18"/>
  <c r="B1671" i="18"/>
  <c r="C1661" i="18"/>
  <c r="C1662" i="18"/>
  <c r="C1663" i="18"/>
  <c r="C1664" i="18"/>
  <c r="C1665" i="18"/>
  <c r="C1666" i="18"/>
  <c r="C1667" i="18"/>
  <c r="C1668" i="18"/>
  <c r="C1669" i="18"/>
  <c r="C1670" i="18"/>
  <c r="C1671" i="18"/>
  <c r="E1661" i="18"/>
  <c r="E1662" i="18"/>
  <c r="E1663" i="18"/>
  <c r="E1664" i="18"/>
  <c r="E1665" i="18"/>
  <c r="E1666" i="18"/>
  <c r="E1667" i="18"/>
  <c r="E1668" i="18"/>
  <c r="E1669" i="18"/>
  <c r="E1670" i="18"/>
  <c r="E1671" i="18"/>
  <c r="H1661" i="18"/>
  <c r="H1662" i="18"/>
  <c r="H1663" i="18"/>
  <c r="H1664" i="18"/>
  <c r="H1665" i="18"/>
  <c r="H1666" i="18"/>
  <c r="H1667" i="18"/>
  <c r="H1668" i="18"/>
  <c r="H1669" i="18"/>
  <c r="H1670" i="18"/>
  <c r="H1671" i="18"/>
  <c r="I1661" i="18"/>
  <c r="I1662" i="18"/>
  <c r="I1663" i="18"/>
  <c r="I1664" i="18"/>
  <c r="I1665" i="18"/>
  <c r="I1666" i="18"/>
  <c r="I1667" i="18"/>
  <c r="I1668" i="18"/>
  <c r="I1669" i="18"/>
  <c r="I1670" i="18"/>
  <c r="I1671" i="18"/>
  <c r="J1661" i="18"/>
  <c r="J1662" i="18"/>
  <c r="J1663" i="18"/>
  <c r="J1664" i="18"/>
  <c r="J1665" i="18"/>
  <c r="J1666" i="18"/>
  <c r="J1667" i="18"/>
  <c r="J1668" i="18"/>
  <c r="J1669" i="18"/>
  <c r="J1670" i="18"/>
  <c r="J1671" i="18"/>
  <c r="L1661" i="18"/>
  <c r="L1662" i="18"/>
  <c r="L1663" i="18"/>
  <c r="L1664" i="18"/>
  <c r="L1665" i="18"/>
  <c r="L1666" i="18"/>
  <c r="L1667" i="18"/>
  <c r="L1668" i="18"/>
  <c r="L1669" i="18"/>
  <c r="L1670" i="18"/>
  <c r="L1671" i="18"/>
  <c r="R1661" i="18"/>
  <c r="R1662" i="18"/>
  <c r="R1663" i="18"/>
  <c r="R1664" i="18"/>
  <c r="R1665" i="18"/>
  <c r="R1666" i="18"/>
  <c r="R1667" i="18"/>
  <c r="R1668" i="18"/>
  <c r="R1669" i="18"/>
  <c r="R1670" i="18"/>
  <c r="R1671" i="18"/>
  <c r="S1661" i="18"/>
  <c r="S1662" i="18"/>
  <c r="S1663" i="18"/>
  <c r="S1664" i="18"/>
  <c r="S1665" i="18"/>
  <c r="S1666" i="18"/>
  <c r="S1667" i="18"/>
  <c r="S1668" i="18"/>
  <c r="S1669" i="18"/>
  <c r="S1670" i="18"/>
  <c r="S1671" i="18"/>
  <c r="T1661" i="18"/>
  <c r="AA1661" i="18" s="1"/>
  <c r="T1662" i="18"/>
  <c r="AA1662" i="18" s="1"/>
  <c r="T1663" i="18"/>
  <c r="AA1663" i="18" s="1"/>
  <c r="T1664" i="18"/>
  <c r="AA1664" i="18" s="1"/>
  <c r="T1665" i="18"/>
  <c r="T1666" i="18"/>
  <c r="T1667" i="18"/>
  <c r="T1668" i="18"/>
  <c r="T1669" i="18"/>
  <c r="T1670" i="18"/>
  <c r="AA1670" i="18" s="1"/>
  <c r="T1671" i="18"/>
  <c r="AA1671" i="18" s="1"/>
  <c r="BF128" i="1"/>
  <c r="BM128" i="1" s="1"/>
  <c r="BG128" i="1"/>
  <c r="BL128" i="1"/>
  <c r="X159" i="19"/>
  <c r="X158" i="19"/>
  <c r="B158" i="19"/>
  <c r="B159" i="19"/>
  <c r="C158" i="19"/>
  <c r="C159" i="19"/>
  <c r="E158" i="19"/>
  <c r="E159" i="19"/>
  <c r="H158" i="19"/>
  <c r="H159" i="19"/>
  <c r="I158" i="19"/>
  <c r="I159" i="19"/>
  <c r="J158" i="19"/>
  <c r="J159" i="19"/>
  <c r="T159" i="19" s="1"/>
  <c r="O158" i="19"/>
  <c r="O159" i="19"/>
  <c r="P158" i="19"/>
  <c r="P159" i="19"/>
  <c r="Q158" i="19"/>
  <c r="Q159" i="19"/>
  <c r="B1647" i="18"/>
  <c r="B1648" i="18"/>
  <c r="B1649" i="18"/>
  <c r="B1650" i="18"/>
  <c r="B1651" i="18"/>
  <c r="B1652" i="18"/>
  <c r="B1653" i="18"/>
  <c r="B1654" i="18"/>
  <c r="B1655" i="18"/>
  <c r="B1656" i="18"/>
  <c r="B1657" i="18"/>
  <c r="B1658" i="18"/>
  <c r="B1659" i="18"/>
  <c r="B1660" i="18"/>
  <c r="C1647" i="18"/>
  <c r="C1648" i="18"/>
  <c r="C1649" i="18"/>
  <c r="C1650" i="18"/>
  <c r="C1651" i="18"/>
  <c r="C1652" i="18"/>
  <c r="C1653" i="18"/>
  <c r="C1654" i="18"/>
  <c r="C1655" i="18"/>
  <c r="C1656" i="18"/>
  <c r="C1657" i="18"/>
  <c r="C1658" i="18"/>
  <c r="C1659" i="18"/>
  <c r="C1660" i="18"/>
  <c r="E1647" i="18"/>
  <c r="E1648" i="18"/>
  <c r="E1649" i="18"/>
  <c r="E1650" i="18"/>
  <c r="E1651" i="18"/>
  <c r="E1652" i="18"/>
  <c r="E1653" i="18"/>
  <c r="E1654" i="18"/>
  <c r="E1655" i="18"/>
  <c r="E1656" i="18"/>
  <c r="E1657" i="18"/>
  <c r="E1658" i="18"/>
  <c r="E1659" i="18"/>
  <c r="E1660" i="18"/>
  <c r="H1647" i="18"/>
  <c r="H1648" i="18"/>
  <c r="H1649" i="18"/>
  <c r="H1650" i="18"/>
  <c r="H1651" i="18"/>
  <c r="H1652" i="18"/>
  <c r="H1653" i="18"/>
  <c r="H1654" i="18"/>
  <c r="H1655" i="18"/>
  <c r="H1656" i="18"/>
  <c r="H1657" i="18"/>
  <c r="H1658" i="18"/>
  <c r="H1659" i="18"/>
  <c r="H1660" i="18"/>
  <c r="I1647" i="18"/>
  <c r="I1648" i="18"/>
  <c r="I1649" i="18"/>
  <c r="I1650" i="18"/>
  <c r="I1651" i="18"/>
  <c r="I1652" i="18"/>
  <c r="I1653" i="18"/>
  <c r="I1654" i="18"/>
  <c r="I1655" i="18"/>
  <c r="I1656" i="18"/>
  <c r="I1657" i="18"/>
  <c r="I1658" i="18"/>
  <c r="I1659" i="18"/>
  <c r="I1660" i="18"/>
  <c r="J1647" i="18"/>
  <c r="J1648" i="18"/>
  <c r="J1649" i="18"/>
  <c r="W1649" i="18" s="1"/>
  <c r="J1650" i="18"/>
  <c r="J1651" i="18"/>
  <c r="J1652" i="18"/>
  <c r="J1653" i="18"/>
  <c r="J1654" i="18"/>
  <c r="J1655" i="18"/>
  <c r="J1656" i="18"/>
  <c r="J1657" i="18"/>
  <c r="J1658" i="18"/>
  <c r="J1659" i="18"/>
  <c r="J1660" i="18"/>
  <c r="L1647" i="18"/>
  <c r="L1648" i="18"/>
  <c r="L1649" i="18"/>
  <c r="L1650" i="18"/>
  <c r="L1651" i="18"/>
  <c r="L1652" i="18"/>
  <c r="L1653" i="18"/>
  <c r="L1654" i="18"/>
  <c r="L1655" i="18"/>
  <c r="L1656" i="18"/>
  <c r="L1657" i="18"/>
  <c r="L1658" i="18"/>
  <c r="L1659" i="18"/>
  <c r="L1660" i="18"/>
  <c r="R1647" i="18"/>
  <c r="R1648" i="18"/>
  <c r="R1649" i="18"/>
  <c r="R1650" i="18"/>
  <c r="R1651" i="18"/>
  <c r="R1652" i="18"/>
  <c r="R1653" i="18"/>
  <c r="R1654" i="18"/>
  <c r="R1655" i="18"/>
  <c r="R1656" i="18"/>
  <c r="R1657" i="18"/>
  <c r="R1658" i="18"/>
  <c r="R1659" i="18"/>
  <c r="R1660" i="18"/>
  <c r="S1647" i="18"/>
  <c r="S1648" i="18"/>
  <c r="S1649" i="18"/>
  <c r="S1650" i="18"/>
  <c r="S1651" i="18"/>
  <c r="S1652" i="18"/>
  <c r="S1653" i="18"/>
  <c r="S1654" i="18"/>
  <c r="S1655" i="18"/>
  <c r="S1656" i="18"/>
  <c r="S1657" i="18"/>
  <c r="S1658" i="18"/>
  <c r="S1659" i="18"/>
  <c r="S1660" i="18"/>
  <c r="T1647" i="18"/>
  <c r="AA1647" i="18" s="1"/>
  <c r="T1648" i="18"/>
  <c r="AA1648" i="18" s="1"/>
  <c r="T1649" i="18"/>
  <c r="AA1649" i="18" s="1"/>
  <c r="T1650" i="18"/>
  <c r="AA1650" i="18" s="1"/>
  <c r="T1651" i="18"/>
  <c r="T1652" i="18"/>
  <c r="T1653" i="18"/>
  <c r="AA1653" i="18" s="1"/>
  <c r="T1654" i="18"/>
  <c r="AA1654" i="18" s="1"/>
  <c r="T1655" i="18"/>
  <c r="AA1655" i="18" s="1"/>
  <c r="T1656" i="18"/>
  <c r="AA1656" i="18" s="1"/>
  <c r="T1657" i="18"/>
  <c r="T1658" i="18"/>
  <c r="AA1658" i="18" s="1"/>
  <c r="T1659" i="18"/>
  <c r="AA1659" i="18" s="1"/>
  <c r="T1660" i="18"/>
  <c r="AA1660" i="18" s="1"/>
  <c r="BL127" i="1"/>
  <c r="B1637" i="18"/>
  <c r="B1638" i="18"/>
  <c r="B1639" i="18"/>
  <c r="B1640" i="18"/>
  <c r="B1641" i="18"/>
  <c r="B1642" i="18"/>
  <c r="B1643" i="18"/>
  <c r="B1644" i="18"/>
  <c r="B1645" i="18"/>
  <c r="B1646" i="18"/>
  <c r="C1637" i="18"/>
  <c r="C1638" i="18"/>
  <c r="C1639" i="18"/>
  <c r="C1640" i="18"/>
  <c r="C1641" i="18"/>
  <c r="C1642" i="18"/>
  <c r="C1643" i="18"/>
  <c r="C1644" i="18"/>
  <c r="C1645" i="18"/>
  <c r="C1646" i="18"/>
  <c r="E1637" i="18"/>
  <c r="E1638" i="18"/>
  <c r="E1639" i="18"/>
  <c r="E1640" i="18"/>
  <c r="E1641" i="18"/>
  <c r="E1642" i="18"/>
  <c r="E1643" i="18"/>
  <c r="E1644" i="18"/>
  <c r="E1645" i="18"/>
  <c r="E1646" i="18"/>
  <c r="H1637" i="18"/>
  <c r="H1638" i="18"/>
  <c r="H1639" i="18"/>
  <c r="H1640" i="18"/>
  <c r="H1641" i="18"/>
  <c r="H1642" i="18"/>
  <c r="H1643" i="18"/>
  <c r="H1644" i="18"/>
  <c r="H1645" i="18"/>
  <c r="H1646" i="18"/>
  <c r="I1637" i="18"/>
  <c r="I1638" i="18"/>
  <c r="I1639" i="18"/>
  <c r="I1640" i="18"/>
  <c r="I1641" i="18"/>
  <c r="I1642" i="18"/>
  <c r="I1643" i="18"/>
  <c r="I1644" i="18"/>
  <c r="I1645" i="18"/>
  <c r="I1646" i="18"/>
  <c r="J1637" i="18"/>
  <c r="J1638" i="18"/>
  <c r="J1639" i="18"/>
  <c r="J1640" i="18"/>
  <c r="J1641" i="18"/>
  <c r="J1642" i="18"/>
  <c r="J1643" i="18"/>
  <c r="J1644" i="18"/>
  <c r="J1645" i="18"/>
  <c r="J1646" i="18"/>
  <c r="L1637" i="18"/>
  <c r="L1638" i="18"/>
  <c r="L1639" i="18"/>
  <c r="L1640" i="18"/>
  <c r="L1641" i="18"/>
  <c r="L1642" i="18"/>
  <c r="L1643" i="18"/>
  <c r="L1644" i="18"/>
  <c r="L1645" i="18"/>
  <c r="L1646" i="18"/>
  <c r="R1637" i="18"/>
  <c r="R1638" i="18"/>
  <c r="R1639" i="18"/>
  <c r="R1640" i="18"/>
  <c r="R1641" i="18"/>
  <c r="R1642" i="18"/>
  <c r="R1643" i="18"/>
  <c r="R1644" i="18"/>
  <c r="R1645" i="18"/>
  <c r="R1646" i="18"/>
  <c r="S1637" i="18"/>
  <c r="S1638" i="18"/>
  <c r="S1639" i="18"/>
  <c r="S1640" i="18"/>
  <c r="S1641" i="18"/>
  <c r="S1642" i="18"/>
  <c r="S1643" i="18"/>
  <c r="S1644" i="18"/>
  <c r="S1645" i="18"/>
  <c r="S1646" i="18"/>
  <c r="T1637" i="18"/>
  <c r="AA1637" i="18" s="1"/>
  <c r="T1638" i="18"/>
  <c r="T1639" i="18"/>
  <c r="T1640" i="18"/>
  <c r="AA1640" i="18" s="1"/>
  <c r="T1641" i="18"/>
  <c r="AA1641" i="18" s="1"/>
  <c r="T1642" i="18"/>
  <c r="T1643" i="18"/>
  <c r="T1644" i="18"/>
  <c r="AA1644" i="18" s="1"/>
  <c r="T1645" i="18"/>
  <c r="AA1645" i="18" s="1"/>
  <c r="T1646" i="18"/>
  <c r="AA1646" i="18" s="1"/>
  <c r="BF126" i="1"/>
  <c r="BM126" i="1" s="1"/>
  <c r="BG126" i="1"/>
  <c r="BL126" i="1"/>
  <c r="L1636" i="18"/>
  <c r="B1636" i="18"/>
  <c r="C1636" i="18"/>
  <c r="E1636" i="18"/>
  <c r="H1636" i="18"/>
  <c r="I1636" i="18"/>
  <c r="J1636" i="18"/>
  <c r="R1636" i="18"/>
  <c r="S1636" i="18"/>
  <c r="T1636" i="18"/>
  <c r="AA1636" i="18" s="1"/>
  <c r="B1630" i="18"/>
  <c r="B1631" i="18"/>
  <c r="B1632" i="18"/>
  <c r="B1633" i="18"/>
  <c r="B1634" i="18"/>
  <c r="B1635" i="18"/>
  <c r="C1630" i="18"/>
  <c r="C1631" i="18"/>
  <c r="C1632" i="18"/>
  <c r="C1633" i="18"/>
  <c r="C1634" i="18"/>
  <c r="C1635" i="18"/>
  <c r="E1630" i="18"/>
  <c r="E1631" i="18"/>
  <c r="E1632" i="18"/>
  <c r="E1633" i="18"/>
  <c r="E1634" i="18"/>
  <c r="E1635" i="18"/>
  <c r="H1630" i="18"/>
  <c r="H1631" i="18"/>
  <c r="H1632" i="18"/>
  <c r="H1633" i="18"/>
  <c r="H1634" i="18"/>
  <c r="H1635" i="18"/>
  <c r="I1630" i="18"/>
  <c r="I1631" i="18"/>
  <c r="I1632" i="18"/>
  <c r="I1633" i="18"/>
  <c r="I1634" i="18"/>
  <c r="I1635" i="18"/>
  <c r="J1630" i="18"/>
  <c r="J1631" i="18"/>
  <c r="J1632" i="18"/>
  <c r="J1633" i="18"/>
  <c r="J1634" i="18"/>
  <c r="J1635" i="18"/>
  <c r="L1630" i="18"/>
  <c r="L1631" i="18"/>
  <c r="L1632" i="18"/>
  <c r="L1633" i="18"/>
  <c r="L1634" i="18"/>
  <c r="L1635" i="18"/>
  <c r="R1630" i="18"/>
  <c r="R1631" i="18"/>
  <c r="R1632" i="18"/>
  <c r="R1633" i="18"/>
  <c r="R1634" i="18"/>
  <c r="R1635" i="18"/>
  <c r="S1630" i="18"/>
  <c r="S1631" i="18"/>
  <c r="S1632" i="18"/>
  <c r="S1633" i="18"/>
  <c r="S1634" i="18"/>
  <c r="S1635" i="18"/>
  <c r="T1630" i="18"/>
  <c r="AA1630" i="18" s="1"/>
  <c r="T1631" i="18"/>
  <c r="T1632" i="18"/>
  <c r="AA1632" i="18" s="1"/>
  <c r="T1633" i="18"/>
  <c r="AA1633" i="18" s="1"/>
  <c r="T1634" i="18"/>
  <c r="AA1634" i="18" s="1"/>
  <c r="T1635" i="18"/>
  <c r="AA1635" i="18" s="1"/>
  <c r="BF125" i="1"/>
  <c r="BM125" i="1" s="1"/>
  <c r="BG125" i="1"/>
  <c r="BL125" i="1"/>
  <c r="W1677" i="18" l="1"/>
  <c r="W1631" i="18"/>
  <c r="W1675" i="18"/>
  <c r="W1673" i="18"/>
  <c r="W1674" i="18"/>
  <c r="W1672" i="18"/>
  <c r="W1679" i="18"/>
  <c r="AA1674" i="18"/>
  <c r="AA1673" i="18"/>
  <c r="AA1672" i="18"/>
  <c r="W1667" i="18"/>
  <c r="W1669" i="18"/>
  <c r="W1668" i="18"/>
  <c r="W1666" i="18"/>
  <c r="W1662" i="18"/>
  <c r="BN129" i="1"/>
  <c r="BN128" i="1"/>
  <c r="W1670" i="18"/>
  <c r="W1665" i="18"/>
  <c r="W1661" i="18"/>
  <c r="W1671" i="18"/>
  <c r="AA1667" i="18"/>
  <c r="W1650" i="18"/>
  <c r="AA1665" i="18"/>
  <c r="W1664" i="18"/>
  <c r="AA1668" i="18"/>
  <c r="AA1666" i="18"/>
  <c r="W1663" i="18"/>
  <c r="AA1669" i="18"/>
  <c r="W1642" i="18"/>
  <c r="W1636" i="18"/>
  <c r="W1660" i="18"/>
  <c r="W1648" i="18"/>
  <c r="W1652" i="18"/>
  <c r="W1639" i="18"/>
  <c r="W1659" i="18"/>
  <c r="W1647" i="18"/>
  <c r="W1658" i="18"/>
  <c r="BG127" i="1"/>
  <c r="BF127" i="1"/>
  <c r="BM127" i="1" s="1"/>
  <c r="T158" i="19"/>
  <c r="W1653" i="18"/>
  <c r="W1655" i="18"/>
  <c r="W1654" i="18"/>
  <c r="W1651" i="18"/>
  <c r="W1657" i="18"/>
  <c r="W1656" i="18"/>
  <c r="AA1657" i="18"/>
  <c r="W1645" i="18"/>
  <c r="W1638" i="18"/>
  <c r="AA1652" i="18"/>
  <c r="AA1651" i="18"/>
  <c r="BN126" i="1"/>
  <c r="W1644" i="18"/>
  <c r="AA1639" i="18"/>
  <c r="W1637" i="18"/>
  <c r="AA1638" i="18"/>
  <c r="W1646" i="18"/>
  <c r="W1643" i="18"/>
  <c r="AA1642" i="18"/>
  <c r="W1640" i="18"/>
  <c r="AA1643" i="18"/>
  <c r="W1641" i="18"/>
  <c r="AA1631" i="18"/>
  <c r="W1635" i="18"/>
  <c r="W1634" i="18"/>
  <c r="W1630" i="18"/>
  <c r="W1632" i="18"/>
  <c r="W1633" i="18"/>
  <c r="BN125" i="1"/>
  <c r="BN127" i="1" l="1"/>
  <c r="B1625" i="18"/>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s="1"/>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W1629" i="18" l="1"/>
  <c r="W1608" i="18"/>
  <c r="BN124" i="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X156" i="19" s="1"/>
  <c r="Q157" i="19"/>
  <c r="X157" i="19" s="1"/>
  <c r="E155" i="19"/>
  <c r="H155" i="19"/>
  <c r="I155" i="19"/>
  <c r="J155" i="19"/>
  <c r="T155" i="19" s="1"/>
  <c r="O155" i="19"/>
  <c r="P155" i="19"/>
  <c r="Q155" i="19"/>
  <c r="X155" i="19" s="1"/>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E154" i="19"/>
  <c r="C154" i="19"/>
  <c r="B154" i="19"/>
  <c r="H154" i="19"/>
  <c r="I154" i="19"/>
  <c r="J154" i="19"/>
  <c r="O154" i="19"/>
  <c r="P154" i="19"/>
  <c r="Q154" i="19"/>
  <c r="X154" i="19" s="1"/>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4" i="19" l="1"/>
  <c r="T151" i="19"/>
  <c r="X151" i="19"/>
  <c r="T157" i="19"/>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T1530" i="18"/>
  <c r="T1531" i="18"/>
  <c r="AA1531" i="18" s="1"/>
  <c r="T1532" i="18"/>
  <c r="AA1532" i="18" s="1"/>
  <c r="T1533" i="18"/>
  <c r="AA1533" i="18" s="1"/>
  <c r="T1534" i="18"/>
  <c r="AA1534" i="18" s="1"/>
  <c r="T1535" i="18"/>
  <c r="T1536" i="18"/>
  <c r="T1537" i="18"/>
  <c r="T1538" i="18"/>
  <c r="AA1538" i="18" s="1"/>
  <c r="T1539" i="18"/>
  <c r="AA1539" i="18" s="1"/>
  <c r="T1540" i="18"/>
  <c r="AA1540" i="18" s="1"/>
  <c r="T1541" i="18"/>
  <c r="T1542" i="18"/>
  <c r="AA1542" i="18" s="1"/>
  <c r="T1543" i="18"/>
  <c r="AA1543" i="18" s="1"/>
  <c r="W1541" i="18" l="1"/>
  <c r="W1529" i="18"/>
  <c r="W1530" i="18"/>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A1647" i="18" s="1"/>
  <c r="A1648" i="18" s="1"/>
  <c r="A1649" i="18" s="1"/>
  <c r="A1650" i="18" s="1"/>
  <c r="A1651" i="18" s="1"/>
  <c r="A1652" i="18" s="1"/>
  <c r="A1653" i="18" s="1"/>
  <c r="A1654" i="18" s="1"/>
  <c r="A1655" i="18" s="1"/>
  <c r="A1656" i="18" s="1"/>
  <c r="A1657" i="18" s="1"/>
  <c r="A1658" i="18" s="1"/>
  <c r="A1659" i="18" s="1"/>
  <c r="A1660" i="18" s="1"/>
  <c r="A1661" i="18" s="1"/>
  <c r="A1662" i="18" s="1"/>
  <c r="A1663" i="18" s="1"/>
  <c r="A1664" i="18" s="1"/>
  <c r="A1665" i="18" s="1"/>
  <c r="A1666" i="18" s="1"/>
  <c r="A1667" i="18" s="1"/>
  <c r="A1668" i="18" s="1"/>
  <c r="A1669" i="18" s="1"/>
  <c r="A1670" i="18" s="1"/>
  <c r="A1671" i="18" s="1"/>
  <c r="A1672" i="18" s="1"/>
  <c r="A1673" i="18" s="1"/>
  <c r="A1674" i="18" s="1"/>
  <c r="A1675" i="18" s="1"/>
  <c r="A1676" i="18" s="1"/>
  <c r="A1677" i="18" s="1"/>
  <c r="A1678" i="18" s="1"/>
  <c r="A1679" i="18" s="1"/>
  <c r="A1680"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A126" i="1" l="1"/>
  <c r="B125" i="1"/>
  <c r="C125" i="1"/>
  <c r="D125" i="1"/>
  <c r="E125" i="1"/>
  <c r="B43" i="1"/>
  <c r="C43" i="1"/>
  <c r="D43" i="1"/>
  <c r="E43" i="1"/>
  <c r="BF43" i="1"/>
  <c r="BM43" i="1" s="1"/>
  <c r="BG43" i="1"/>
  <c r="BL43" i="1"/>
  <c r="A127" i="1" l="1"/>
  <c r="C126" i="1"/>
  <c r="B126" i="1"/>
  <c r="D126" i="1"/>
  <c r="E126" i="1"/>
  <c r="BN43" i="1"/>
  <c r="A128" i="1" l="1"/>
  <c r="C127" i="1"/>
  <c r="D127" i="1"/>
  <c r="E127" i="1"/>
  <c r="B127" i="1"/>
  <c r="B42" i="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A129" i="1" l="1"/>
  <c r="B128" i="1"/>
  <c r="C128" i="1"/>
  <c r="D128" i="1"/>
  <c r="E128" i="1"/>
  <c r="BN42" i="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9" i="19" l="1"/>
  <c r="V158" i="19"/>
  <c r="V155" i="19"/>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<sst xmlns="http://schemas.openxmlformats.org/spreadsheetml/2006/main" count="17947" uniqueCount="2130">
  <si>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</si>
  <si>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</si>
  <si>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</si>
  <si>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</si>
  <si>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</si>
  <si>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</si>
  <si>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</si>
  <si>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</si>
  <si>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</si>
  <si>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</si>
  <si>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</si>
  <si>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</si>
  <si>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</si>
  <si>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</si>
  <si>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</si>
  <si>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</si>
  <si>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</si>
  <si>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</si>
  <si>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</si>
  <si>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</si>
  <si>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</si>
  <si>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</si>
  <si>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</si>
  <si>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</si>
  <si>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</si>
  <si>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</si>
  <si>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</si>
  <si>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</si>
  <si>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</si>
  <si>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</si>
  <si>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</si>
  <si>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</si>
  <si>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</si>
  <si>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</si>
  <si>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</si>
  <si>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</si>
  <si>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</si>
  <si>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</si>
  <si>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</si>
  <si>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</si>
  <si>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</si>
  <si>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</si>
  <si>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</si>
  <si>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</si>
  <si>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</si>
  <si>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</si>
  <si>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</si>
  <si>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</si>
  <si>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</si>
  <si>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</si>
  <si>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</si>
  <si>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</si>
  <si>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</si>
  <si>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</si>
  <si>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</si>
  <si>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</si>
  <si>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</si>
  <si>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</si>
  <si>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</si>
  <si>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</si>
  <si>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</si>
  <si>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</si>
  <si>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</si>
  <si>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</si>
  <si>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</si>
  <si>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</si>
  <si>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</si>
  <si>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</si>
  <si>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</si>
  <si>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</si>
  <si>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</si>
  <si>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</si>
  <si>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</si>
  <si>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</si>
  <si>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</si>
  <si>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</si>
  <si>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</si>
  <si>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</si>
  <si>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</si>
  <si>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</si>
  <si>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</si>
  <si>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</si>
  <si>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</si>
  <si>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</si>
  <si>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</si>
  <si>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</si>
  <si>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</si>
  <si>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</si>
  <si>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</si>
  <si>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</si>
  <si>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</si>
  <si>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</si>
  <si>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</si>
  <si>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</si>
  <si>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</si>
  <si>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</si>
  <si>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</si>
  <si>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</si>
  <si>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</si>
  <si>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</si>
  <si>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</si>
  <si>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</si>
  <si>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</si>
  <si>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</si>
  <si>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</si>
  <si>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</si>
  <si>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</si>
  <si>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</si>
  <si>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</si>
  <si>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</si>
  <si>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</si>
  <si>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</si>
  <si>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</si>
  <si>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</si>
  <si>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</si>
  <si>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</si>
  <si>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</si>
  <si>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</si>
  <si>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</si>
  <si>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</si>
  <si>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</si>
  <si>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</si>
  <si>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</si>
  <si>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</si>
  <si>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</si>
  <si>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</si>
  <si>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</si>
  <si>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</si>
  <si>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</si>
  <si>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</si>
  <si>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</si>
  <si>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</si>
  <si>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</si>
  <si>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</si>
  <si>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</si>
  <si>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</si>
  <si>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</si>
  <si>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</si>
  <si>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</si>
  <si>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</si>
  <si>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</si>
  <si>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</si>
  <si>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</si>
  <si>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</si>
  <si>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</si>
  <si>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</si>
  <si>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</si>
  <si>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</si>
  <si>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</si>
  <si>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</si>
  <si>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</si>
  <si>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</si>
  <si>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</si>
  <si>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</si>
  <si>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</si>
  <si>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</si>
  <si>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</si>
  <si>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</si>
  <si>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</si>
  <si>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</si>
  <si>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</si>
  <si>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</si>
  <si>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</si>
  <si>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</si>
  <si>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</si>
  <si>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</si>
  <si>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</si>
  <si>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</si>
  <si>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</si>
  <si>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</si>
  <si>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</si>
  <si>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</si>
  <si>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</si>
  <si>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</si>
  <si>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</si>
  <si>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</si>
  <si>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</si>
  <si>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</si>
  <si>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</si>
  <si>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</si>
  <si>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</si>
  <si>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</si>
  <si>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</si>
  <si>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</si>
  <si>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</si>
  <si>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</si>
  <si>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</si>
  <si>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</si>
  <si>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</si>
  <si>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</si>
  <si>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</si>
  <si>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</si>
  <si>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</si>
  <si>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</si>
  <si>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</si>
  <si>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</si>
  <si>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</si>
  <si>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</si>
  <si>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</si>
  <si>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</si>
  <si>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</si>
  <si>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</si>
  <si>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</si>
  <si>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</si>
  <si>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</si>
  <si>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</si>
  <si>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</si>
  <si>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</si>
  <si>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</si>
  <si>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</si>
  <si>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</si>
  <si>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</si>
  <si>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</si>
  <si>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</si>
  <si>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</si>
  <si>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</si>
  <si>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</si>
  <si>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</si>
  <si>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</si>
  <si>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</si>
  <si>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</si>
  <si>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</si>
  <si>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</si>
  <si>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</si>
  <si>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</si>
  <si>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</si>
  <si>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</si>
  <si>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</si>
  <si>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</si>
  <si>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</si>
  <si>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</si>
  <si>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</si>
  <si>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</si>
  <si>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</si>
  <si>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</si>
  <si>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</si>
  <si>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</si>
  <si>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</si>
  <si>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</si>
  <si>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</si>
  <si>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</si>
  <si>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</si>
  <si>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</si>
  <si>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</si>
  <si>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</si>
  <si>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</si>
  <si>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</si>
  <si>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</si>
  <si>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</si>
  <si>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</si>
  <si>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</si>
  <si>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</si>
  <si>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</si>
  <si>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</si>
  <si>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</si>
  <si>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</si>
  <si>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</si>
  <si>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</si>
  <si>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</si>
  <si>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</si>
  <si>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</si>
  <si>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</si>
  <si>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</si>
  <si>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</si>
  <si>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</si>
  <si>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</si>
  <si>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</si>
  <si>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</si>
  <si>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</si>
  <si>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</si>
  <si>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</si>
  <si>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</si>
  <si>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</si>
  <si>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</si>
  <si>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</si>
  <si>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</si>
  <si>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</si>
  <si>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</si>
  <si>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</si>
  <si>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</si>
  <si>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</si>
  <si>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</si>
  <si>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</si>
  <si>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</si>
  <si>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</si>
  <si>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</si>
  <si>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</si>
  <si>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</si>
  <si>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</si>
  <si>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</si>
  <si>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</si>
  <si>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</si>
  <si>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</si>
  <si>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</si>
  <si>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</si>
  <si>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</si>
  <si>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</si>
  <si>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</si>
  <si>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</si>
  <si>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</si>
  <si>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</si>
  <si>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</si>
  <si>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</si>
  <si>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</si>
  <si>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</si>
  <si>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</si>
  <si>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</si>
  <si>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</si>
  <si>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</si>
  <si>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</si>
  <si>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</si>
  <si>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</si>
  <si>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</si>
  <si>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</si>
  <si>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</si>
  <si>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</si>
  <si>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</si>
  <si>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</si>
  <si>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</si>
  <si>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</si>
  <si>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</si>
  <si>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</si>
  <si>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</si>
  <si>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</si>
  <si>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</si>
  <si>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</si>
  <si>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</si>
  <si>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</si>
  <si>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</si>
  <si>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</si>
  <si>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</si>
  <si>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</si>
  <si>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</si>
  <si>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</si>
  <si>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</si>
  <si>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</si>
  <si>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</si>
  <si>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</si>
  <si>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</si>
  <si>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</si>
  <si>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</si>
  <si>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</si>
  <si>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</si>
  <si>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</si>
  <si>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</si>
  <si>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</si>
  <si>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</si>
  <si>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</si>
  <si>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</si>
  <si>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</si>
  <si>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</si>
  <si>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</si>
  <si>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</si>
  <si>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</si>
  <si>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</si>
  <si>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</si>
  <si>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</si>
  <si>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</si>
  <si>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</si>
  <si>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</si>
  <si>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</si>
  <si>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</si>
  <si>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</si>
  <si>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</si>
  <si>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</si>
  <si>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</si>
  <si>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</si>
  <si>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</si>
  <si>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</si>
  <si>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</si>
  <si>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</si>
  <si>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</si>
  <si>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</si>
  <si>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</si>
  <si>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</si>
  <si>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</si>
  <si>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</si>
  <si>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</si>
  <si>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</si>
  <si>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</si>
  <si>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</si>
  <si>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</si>
  <si>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</si>
  <si>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</si>
  <si>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</si>
  <si>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</si>
  <si>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</si>
  <si>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</si>
  <si>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</si>
  <si>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</si>
  <si>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</si>
  <si>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</si>
  <si>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</si>
  <si>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</si>
  <si>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</si>
  <si>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</si>
  <si>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</si>
  <si>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</si>
  <si>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</si>
  <si>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</si>
  <si>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</si>
  <si>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</si>
  <si>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</si>
  <si>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</si>
  <si>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</si>
  <si>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</si>
  <si>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</si>
  <si>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</si>
  <si>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</si>
  <si>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</si>
  <si>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</si>
  <si>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</si>
  <si>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</si>
  <si>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</si>
  <si>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</si>
  <si>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</si>
  <si>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</si>
  <si>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</si>
  <si>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</si>
  <si>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</si>
  <si>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</si>
  <si>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</si>
  <si>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</si>
  <si>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</si>
  <si>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</si>
  <si>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</si>
  <si>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</si>
  <si>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</si>
  <si>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</si>
  <si>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</si>
  <si>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</si>
  <si>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</si>
  <si>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</si>
  <si>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</si>
  <si>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</si>
  <si>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</si>
  <si>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</si>
  <si>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</si>
  <si>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</si>
  <si>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</si>
  <si>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</si>
  <si>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</si>
  <si>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</si>
  <si>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</si>
  <si>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</si>
  <si>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</si>
  <si>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</si>
  <si>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</si>
  <si>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</si>
  <si>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</si>
  <si>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</si>
  <si>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</si>
  <si>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</si>
  <si>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</si>
  <si>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</si>
  <si>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</si>
  <si>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</si>
  <si>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</si>
  <si>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</si>
  <si>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</si>
  <si>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</si>
  <si>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</si>
  <si>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</si>
  <si>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</si>
  <si>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</si>
  <si>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</si>
  <si>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</si>
  <si>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</si>
  <si>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</si>
  <si>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</si>
  <si>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</si>
  <si>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</si>
  <si>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</si>
  <si>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</si>
  <si>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</si>
  <si>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</si>
  <si>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</si>
  <si>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</si>
  <si>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</si>
  <si>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</si>
  <si>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</si>
  <si>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</si>
  <si>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</si>
  <si>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</si>
  <si>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</si>
  <si>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</si>
  <si>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</si>
  <si>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</si>
  <si>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</si>
  <si>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</si>
  <si>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</si>
  <si>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</si>
  <si>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</si>
  <si>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</si>
  <si>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</si>
  <si>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</si>
  <si>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</si>
  <si>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</si>
  <si>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</si>
  <si>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</si>
  <si>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</si>
  <si>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</si>
  <si>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</si>
  <si>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</si>
  <si>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</si>
  <si>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</si>
  <si>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</si>
  <si>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</si>
  <si>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</si>
  <si>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</si>
  <si>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</si>
  <si>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</si>
  <si>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</si>
  <si>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</si>
  <si>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</si>
  <si>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</si>
  <si>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</si>
  <si>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</si>
  <si>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</si>
  <si>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</si>
  <si>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</si>
  <si>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</si>
  <si>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</si>
  <si>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</si>
  <si>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</si>
  <si>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</si>
  <si>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</si>
  <si>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</si>
  <si>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</si>
  <si>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</si>
  <si>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</si>
  <si>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</si>
  <si>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</si>
  <si>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</si>
  <si>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</si>
  <si>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</si>
  <si>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</si>
  <si>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</si>
  <si>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</si>
  <si>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</si>
  <si>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</si>
  <si>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</si>
  <si>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</si>
  <si>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</si>
  <si>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</si>
  <si>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</si>
  <si>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</si>
  <si>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</si>
  <si>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</si>
  <si>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</si>
  <si>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</si>
  <si>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</si>
  <si>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</si>
  <si>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</si>
  <si>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</si>
  <si>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</si>
  <si>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</si>
  <si>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</si>
  <si>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</si>
  <si>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</si>
  <si>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</si>
  <si>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</si>
  <si>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</si>
  <si>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</si>
  <si>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</si>
  <si>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</si>
  <si>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</si>
  <si>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</si>
  <si>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</si>
  <si>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</si>
  <si>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</si>
  <si>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</si>
  <si>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</si>
  <si>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</si>
  <si>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</si>
  <si>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</si>
  <si>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</si>
  <si>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</si>
  <si>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</si>
  <si>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</si>
  <si>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</si>
  <si>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</si>
  <si>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</si>
  <si>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</si>
  <si>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</si>
  <si>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</si>
  <si>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</si>
  <si>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</si>
  <si>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</si>
  <si>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</si>
  <si>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</si>
  <si>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</si>
  <si>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</si>
  <si>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</si>
  <si>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</si>
  <si>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</si>
  <si>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</si>
  <si>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</si>
  <si>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</si>
  <si>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</si>
  <si>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</si>
  <si>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</si>
  <si>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</si>
  <si>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</si>
  <si>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</si>
  <si>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</si>
  <si>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</si>
  <si>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</si>
  <si>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</si>
  <si>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</si>
  <si>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</si>
  <si>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</si>
  <si>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</si>
  <si>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</si>
  <si>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</si>
  <si>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</si>
  <si>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</si>
  <si>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</si>
  <si>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</si>
  <si>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</si>
  <si>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</si>
  <si>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</si>
  <si>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</si>
  <si>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</si>
  <si>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</si>
  <si>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</si>
  <si>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</si>
  <si>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</si>
  <si>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</si>
  <si>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</si>
  <si>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</si>
  <si>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</si>
  <si>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</si>
  <si>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</si>
  <si>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</si>
  <si>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</si>
  <si>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</si>
  <si>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</si>
  <si>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</si>
  <si>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</si>
  <si>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</si>
  <si>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</si>
  <si>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</si>
  <si>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</si>
  <si>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</si>
  <si>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</si>
  <si>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</si>
  <si>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</si>
  <si>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</si>
  <si>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</si>
  <si>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</si>
  <si>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</si>
  <si>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</si>
  <si>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</si>
  <si>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</si>
  <si>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</si>
  <si>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</si>
  <si>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</si>
  <si>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</si>
  <si>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</si>
  <si>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</si>
  <si>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</si>
  <si>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</si>
  <si>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</si>
  <si>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</si>
  <si>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</si>
  <si>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</si>
  <si>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</si>
  <si>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</si>
  <si>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</si>
  <si>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</si>
  <si>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</si>
  <si>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</si>
  <si>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</si>
  <si>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</si>
  <si>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</si>
  <si>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</si>
  <si>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</si>
  <si>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</si>
  <si>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</si>
  <si>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</si>
  <si>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</si>
  <si>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</si>
  <si>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</si>
  <si>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</si>
  <si>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</si>
  <si>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</si>
  <si>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</si>
  <si>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</si>
  <si>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</si>
  <si>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</si>
  <si>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</si>
  <si>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</si>
  <si>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</si>
  <si>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</si>
  <si>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</si>
  <si>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</si>
  <si>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</si>
  <si>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</si>
  <si>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</si>
  <si>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</si>
  <si>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</si>
  <si>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</si>
  <si>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</si>
  <si>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</si>
  <si>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</si>
  <si>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</si>
  <si>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</si>
  <si>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</si>
  <si>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</si>
  <si>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</si>
  <si>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</si>
  <si>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</si>
  <si>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</si>
  <si>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</si>
  <si>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</si>
  <si>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</si>
  <si>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</si>
  <si>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</si>
  <si>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</si>
  <si>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</si>
  <si>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</si>
  <si>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</si>
  <si>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</si>
  <si>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</si>
  <si>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</si>
  <si>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</si>
  <si>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</si>
  <si>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</si>
  <si>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</si>
  <si>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</si>
  <si>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</si>
  <si>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</si>
  <si>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</si>
  <si>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</si>
  <si>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</si>
  <si>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</si>
  <si>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</si>
  <si>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</si>
  <si>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</si>
  <si>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</si>
  <si>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</si>
  <si>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</si>
  <si>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</si>
  <si>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</si>
  <si>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</si>
  <si>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</si>
  <si>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</si>
  <si>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</si>
  <si>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</si>
  <si>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</si>
  <si>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</si>
  <si>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</si>
  <si>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</si>
  <si>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</si>
  <si>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</si>
  <si>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</si>
  <si>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</si>
  <si>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</si>
  <si>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</si>
  <si>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</si>
  <si>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</si>
  <si>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</si>
  <si>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</si>
  <si>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</si>
  <si>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</si>
  <si>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</si>
  <si>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</si>
  <si>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</si>
  <si>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</si>
  <si>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</si>
  <si>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</si>
  <si>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</si>
  <si>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</si>
  <si>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</si>
  <si>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</si>
  <si>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</si>
  <si>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</si>
  <si>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</si>
  <si>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</si>
  <si>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</si>
  <si>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</si>
  <si>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</si>
  <si>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</si>
  <si>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</si>
  <si>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</si>
  <si>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</si>
  <si>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</si>
  <si>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</si>
  <si>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</si>
  <si>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</si>
  <si>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</si>
  <si>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</si>
  <si>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</si>
  <si>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</si>
  <si>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</si>
  <si>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</si>
  <si>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</si>
  <si>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</si>
  <si>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</si>
  <si>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</si>
  <si>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</si>
  <si>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</si>
  <si>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</si>
  <si>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</si>
  <si>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</si>
  <si>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</si>
  <si>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</si>
  <si>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</si>
  <si>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</si>
  <si>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</si>
  <si>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</si>
  <si>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</si>
  <si>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</si>
  <si>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</si>
  <si>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</si>
  <si>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</si>
  <si>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</si>
  <si>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</si>
  <si>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</si>
  <si>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</si>
  <si>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</si>
  <si>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</si>
  <si>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</si>
  <si>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</si>
  <si>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</si>
  <si>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</si>
  <si>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</si>
  <si>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</si>
  <si>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</si>
  <si>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</si>
  <si>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</si>
  <si>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</si>
  <si>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</si>
  <si>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</si>
  <si>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</si>
  <si>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</si>
  <si>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</si>
  <si>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</si>
  <si>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</si>
  <si>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</si>
  <si>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</si>
  <si>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</si>
  <si>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</si>
  <si>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</si>
  <si>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</si>
  <si>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</si>
  <si>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</si>
  <si>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</si>
  <si>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</si>
  <si>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</si>
  <si>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</si>
  <si>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</si>
  <si>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</si>
  <si>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</si>
  <si>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</si>
  <si>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</si>
  <si>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</si>
  <si>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</si>
  <si>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</si>
  <si>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</si>
  <si>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</si>
  <si>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</si>
  <si>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</si>
  <si>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</si>
  <si>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</si>
  <si>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</si>
  <si>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</si>
  <si>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</si>
  <si>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</si>
  <si>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</si>
  <si>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</si>
  <si>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</si>
  <si>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</si>
  <si>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</si>
  <si>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</si>
  <si>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</si>
  <si>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</si>
  <si>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</si>
  <si>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</si>
  <si>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</si>
  <si>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</si>
  <si>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</si>
  <si>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</si>
  <si>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</si>
  <si>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</si>
  <si>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</si>
  <si>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</si>
  <si>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</si>
  <si>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</si>
  <si>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</si>
  <si>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</si>
  <si>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</si>
  <si>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</si>
  <si>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</si>
  <si>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</si>
  <si>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</si>
  <si>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</si>
  <si>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</si>
  <si>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</si>
  <si>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</si>
  <si>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</si>
  <si>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</si>
  <si>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</si>
  <si>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</si>
  <si>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</si>
  <si>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</si>
  <si>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</si>
  <si>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</si>
  <si>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</si>
  <si>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</si>
  <si>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</si>
  <si>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</si>
  <si>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</si>
  <si>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</si>
  <si>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</si>
  <si>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</si>
  <si>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</si>
  <si>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</si>
  <si>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</si>
  <si>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</si>
  <si>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</si>
  <si>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</si>
  <si>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</si>
  <si>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</si>
  <si>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</si>
  <si>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</si>
  <si>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</si>
  <si>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</si>
  <si>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</si>
  <si>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</si>
  <si>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</si>
  <si>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</si>
  <si>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</si>
  <si>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</si>
  <si>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</si>
  <si>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</si>
  <si>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</si>
  <si>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</si>
  <si>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</si>
  <si>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</si>
  <si>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</si>
  <si>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</si>
  <si>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</si>
  <si>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</si>
  <si>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</si>
  <si>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</si>
  <si>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</si>
  <si>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</si>
  <si>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</si>
  <si>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</si>
  <si>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</si>
  <si>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</si>
  <si>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</si>
  <si>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</si>
  <si>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</si>
  <si>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</si>
  <si>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</si>
  <si>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</si>
  <si>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</si>
  <si>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</si>
  <si>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</si>
  <si>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</si>
  <si>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</si>
  <si>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</si>
  <si>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</si>
  <si>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</si>
  <si>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</si>
  <si>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</si>
  <si>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</si>
  <si>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</si>
  <si>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</si>
  <si>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</si>
  <si>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</si>
  <si>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</si>
  <si>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</si>
  <si>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</si>
  <si>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</si>
  <si>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</si>
  <si>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</si>
  <si>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</si>
  <si>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</si>
  <si>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</si>
  <si>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</si>
  <si>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</si>
  <si>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</si>
  <si>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</si>
  <si>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</si>
  <si>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</si>
  <si>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</si>
  <si>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</si>
  <si>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</si>
  <si>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</si>
  <si>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</si>
  <si>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</si>
  <si>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</si>
  <si>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</si>
  <si>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</si>
  <si>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</si>
  <si>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</si>
  <si>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</si>
  <si>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</si>
  <si>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</si>
  <si>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</si>
  <si>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</si>
  <si>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</si>
  <si>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</si>
  <si>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</si>
  <si>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</si>
  <si>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</si>
  <si>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</si>
  <si>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</si>
  <si>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</si>
  <si>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</si>
  <si>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</si>
  <si>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</si>
  <si>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</si>
  <si>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</si>
  <si>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</si>
  <si>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</si>
  <si>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</si>
  <si>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</si>
  <si>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</si>
  <si>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</si>
  <si>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</si>
  <si>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</si>
  <si>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</si>
  <si>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</si>
  <si>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</si>
  <si>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</si>
  <si>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</si>
  <si>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</si>
  <si>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</si>
  <si>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</si>
  <si>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</si>
  <si>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</si>
  <si>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</si>
  <si>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</si>
  <si>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</si>
  <si>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</si>
  <si>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</si>
  <si>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</si>
  <si>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</si>
  <si>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</si>
  <si>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</si>
  <si>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</si>
  <si>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</si>
  <si>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</si>
  <si>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</si>
  <si>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</si>
  <si>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</si>
  <si>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</si>
  <si>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</si>
  <si>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</si>
  <si>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</si>
  <si>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</si>
  <si>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</si>
  <si>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</si>
  <si>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</si>
  <si>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</si>
  <si>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</si>
  <si>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</si>
  <si>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</si>
  <si>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</si>
  <si>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</si>
  <si>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</si>
  <si>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</si>
  <si>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</si>
  <si>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</si>
  <si>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</si>
  <si>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</si>
  <si>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</si>
  <si>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</si>
  <si>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</si>
  <si>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</si>
  <si>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</si>
  <si>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</si>
  <si>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</si>
  <si>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</si>
  <si>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</si>
  <si>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</si>
  <si>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</si>
  <si>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</si>
  <si>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</si>
  <si>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</si>
  <si>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</si>
  <si>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</si>
  <si>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</si>
  <si>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</si>
  <si>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</si>
  <si>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</si>
  <si>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</si>
  <si>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</si>
  <si>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</si>
  <si>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</si>
  <si>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</si>
  <si>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</si>
  <si>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</si>
  <si>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</si>
  <si>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</si>
  <si>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</si>
  <si>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</si>
  <si>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</si>
  <si>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</si>
  <si>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</si>
  <si>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</si>
  <si>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</si>
  <si>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</si>
  <si>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</si>
  <si>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</si>
  <si>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</si>
  <si>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</si>
  <si>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</si>
  <si>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</si>
  <si>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</si>
  <si>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</si>
  <si>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</si>
  <si>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</si>
  <si>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</si>
  <si>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</si>
  <si>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</si>
  <si>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</si>
  <si>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</si>
  <si>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</si>
  <si>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</si>
  <si>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</si>
  <si>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</si>
  <si>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</si>
  <si>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</si>
  <si>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</si>
  <si>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</si>
  <si>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</si>
  <si>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</si>
  <si>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</si>
  <si>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</si>
  <si>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</si>
  <si>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</si>
  <si>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</si>
  <si>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</si>
  <si>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</si>
  <si>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</si>
  <si>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</si>
  <si>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</si>
  <si>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</si>
  <si>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</si>
  <si>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</si>
  <si>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</si>
  <si>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</si>
  <si>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</si>
  <si>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</si>
  <si>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</si>
  <si>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</si>
  <si>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</si>
  <si>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</si>
  <si>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</si>
  <si>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</si>
  <si>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</si>
  <si>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</si>
  <si>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</si>
  <si>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</si>
  <si>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</si>
  <si>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</si>
  <si>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</si>
  <si>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</si>
  <si>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</si>
  <si>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</si>
  <si>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</si>
  <si>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</si>
  <si>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</si>
  <si>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</si>
  <si>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</si>
  <si>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</si>
  <si>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</si>
  <si>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</si>
  <si>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</si>
  <si>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</si>
  <si>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</si>
  <si>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</si>
  <si>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</si>
  <si>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</si>
  <si>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</si>
  <si>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</si>
  <si>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</si>
  <si>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</si>
  <si>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</si>
  <si>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</si>
  <si>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</si>
  <si>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</si>
  <si>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</si>
  <si>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</si>
  <si>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</si>
  <si>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</si>
  <si>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</si>
  <si>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</si>
  <si>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</si>
  <si>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</si>
  <si>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</si>
  <si>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</si>
  <si>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</si>
  <si>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</si>
  <si>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</si>
  <si>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</si>
  <si>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</si>
  <si>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</si>
  <si>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</si>
  <si>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</si>
  <si>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</si>
  <si>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</si>
  <si>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</si>
  <si>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</si>
  <si>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</si>
  <si>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</si>
  <si>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</si>
  <si>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</si>
  <si>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</si>
  <si>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</si>
  <si>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</si>
  <si>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</si>
  <si>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</si>
  <si>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</si>
  <si>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</si>
  <si>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</si>
  <si>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</si>
  <si>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</si>
  <si>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</si>
  <si>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</si>
  <si>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</si>
  <si>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</si>
  <si>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</si>
  <si>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</si>
  <si>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</si>
  <si>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</si>
  <si>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</si>
  <si>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</si>
  <si>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</si>
  <si>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</si>
  <si>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</si>
  <si>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</si>
  <si>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</si>
  <si>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</si>
  <si>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</si>
  <si>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</si>
  <si>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</si>
  <si>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</si>
  <si>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</si>
  <si>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</si>
  <si>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</si>
  <si>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</si>
  <si>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</si>
  <si>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</si>
  <si>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</si>
  <si>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</si>
  <si>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</si>
  <si>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</si>
  <si>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</si>
  <si>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</si>
  <si>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</si>
  <si>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</si>
  <si>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</si>
  <si>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</si>
  <si>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</si>
  <si>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</si>
  <si>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</si>
  <si>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</si>
  <si>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</si>
  <si>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</si>
  <si>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</si>
  <si>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</si>
  <si>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</si>
  <si>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</si>
  <si>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</si>
  <si>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</si>
  <si>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</si>
  <si>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</si>
  <si>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</si>
  <si>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</si>
  <si>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</si>
  <si>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</si>
  <si>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</si>
  <si>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</si>
  <si>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</si>
  <si>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</si>
  <si>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</si>
  <si>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</si>
  <si>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</si>
  <si>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</si>
  <si>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</si>
  <si>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</si>
  <si>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</si>
  <si>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</si>
  <si>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</si>
  <si>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</si>
  <si>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</si>
  <si>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</si>
  <si>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</si>
  <si>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</si>
  <si>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</si>
  <si>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</si>
  <si>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</si>
  <si>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</si>
  <si>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</si>
  <si>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</si>
  <si>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</si>
  <si>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</si>
  <si>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</si>
  <si>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</si>
  <si>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</si>
  <si>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</si>
  <si>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</si>
  <si>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</si>
  <si>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</si>
  <si>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</si>
  <si>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</si>
  <si>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</si>
  <si>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</si>
  <si>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</si>
  <si>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</si>
  <si>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</si>
  <si>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</si>
  <si>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</si>
  <si>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</si>
  <si>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</si>
  <si>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</si>
  <si>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</si>
  <si>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</si>
  <si>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</si>
  <si>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</si>
  <si>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</si>
  <si>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</si>
  <si>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</si>
  <si>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</si>
  <si>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</si>
  <si>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</si>
  <si>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</si>
  <si>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</si>
  <si>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</si>
  <si>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</si>
  <si>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</si>
  <si>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</si>
  <si>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</si>
  <si>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</si>
  <si>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</si>
  <si>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</si>
  <si>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</si>
  <si>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</si>
  <si>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</si>
  <si>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</si>
  <si>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</si>
  <si>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</si>
  <si>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</si>
  <si>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</si>
  <si>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</si>
  <si>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</si>
  <si>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</si>
  <si>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</si>
  <si>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</si>
  <si>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</si>
  <si>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</si>
  <si>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</si>
  <si>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</si>
  <si>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</si>
  <si>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</si>
  <si>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</si>
  <si>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</si>
  <si>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</si>
  <si>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</si>
  <si>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</si>
  <si>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</si>
  <si>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</si>
  <si>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</si>
  <si>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</si>
  <si>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</si>
  <si>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</si>
  <si>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</si>
  <si>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</si>
  <si>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</si>
  <si>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</si>
  <si>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</si>
  <si>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</si>
  <si>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</si>
  <si>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</si>
  <si>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</si>
  <si>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</si>
  <si>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</si>
  <si>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</si>
  <si>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</si>
  <si>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</si>
  <si>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</si>
  <si>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</si>
  <si>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</si>
  <si>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</si>
  <si>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</si>
  <si>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</si>
  <si>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</si>
  <si>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</si>
  <si>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</si>
  <si>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</si>
  <si>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</si>
  <si>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</si>
  <si>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</si>
  <si>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</si>
  <si>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</si>
  <si>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</si>
  <si>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</si>
  <si>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</si>
  <si>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</si>
  <si>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</si>
  <si>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</si>
  <si>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</si>
  <si>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</si>
  <si>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</si>
  <si>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</si>
  <si>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</si>
  <si>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</si>
  <si>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</si>
  <si>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</si>
  <si>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</si>
  <si>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</si>
  <si>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</si>
  <si>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</si>
  <si>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</si>
  <si>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</si>
  <si>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</si>
  <si>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</si>
  <si>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</si>
  <si>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</si>
  <si>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</si>
  <si>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</si>
  <si>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</si>
  <si>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</si>
  <si>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</si>
  <si>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</si>
  <si>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</si>
  <si>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</si>
  <si>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</si>
  <si>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</si>
  <si>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</si>
  <si>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</si>
  <si>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</si>
  <si>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</si>
  <si>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</si>
  <si>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</si>
  <si>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</si>
  <si>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</si>
  <si>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</si>
  <si>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</si>
  <si>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</si>
  <si>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</si>
  <si>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</si>
  <si>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</si>
  <si>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</si>
  <si>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</si>
  <si>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</si>
  <si>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</si>
  <si>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</si>
  <si>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</si>
  <si>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</si>
  <si>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</si>
  <si>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</si>
  <si>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</si>
  <si>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</si>
  <si>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</si>
  <si>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</si>
  <si>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</si>
  <si>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</si>
  <si>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</si>
  <si>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</si>
  <si>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</si>
  <si>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</si>
  <si>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</si>
  <si>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</si>
  <si>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</si>
  <si>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</si>
  <si>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</si>
  <si>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</si>
  <si>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</si>
  <si>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</si>
  <si>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</si>
  <si>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</si>
  <si>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</si>
  <si>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</si>
  <si>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</si>
  <si>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</si>
  <si>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</si>
  <si>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</si>
  <si>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</si>
  <si>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</si>
  <si>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</si>
  <si>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</si>
  <si>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</si>
  <si>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</si>
  <si>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</si>
  <si>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</si>
  <si>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</si>
  <si>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</si>
  <si>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</si>
  <si>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</si>
  <si>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</si>
  <si>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</si>
  <si>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</si>
  <si>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</si>
  <si>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</si>
  <si>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</si>
  <si>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</si>
  <si>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</si>
  <si>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</si>
  <si>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</si>
  <si>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</si>
  <si>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</si>
  <si>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</si>
  <si>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</si>
  <si>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</si>
  <si>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</si>
  <si>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</si>
  <si>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</si>
  <si>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</si>
  <si>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</si>
  <si>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</si>
  <si>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</si>
  <si>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</si>
  <si>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</si>
  <si>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</si>
  <si>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</si>
  <si>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</si>
  <si>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</si>
  <si>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</si>
  <si>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</si>
  <si>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</si>
  <si>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</si>
  <si>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</si>
  <si>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</si>
  <si>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</si>
  <si>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</si>
  <si>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</si>
  <si>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</si>
  <si>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</si>
  <si>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</si>
  <si>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</si>
  <si>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</si>
  <si>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</si>
  <si>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</si>
  <si>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</si>
  <si>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</si>
  <si>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</si>
  <si>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</si>
  <si>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</si>
  <si>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</si>
  <si>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</si>
  <si>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</si>
  <si>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</si>
  <si>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</si>
  <si>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</si>
  <si>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</si>
  <si>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</si>
  <si>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</si>
  <si>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</si>
  <si>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</si>
  <si>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</si>
  <si>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</si>
  <si>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</si>
  <si>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</si>
  <si>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</si>
  <si>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</si>
  <si>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</si>
  <si>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</si>
  <si>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</si>
  <si>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</si>
  <si>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</si>
  <si>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</si>
  <si>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</si>
  <si>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</si>
  <si>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</si>
  <si>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</si>
  <si>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</si>
  <si>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</si>
  <si>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</si>
  <si>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</si>
  <si>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</si>
  <si>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</si>
  <si>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</si>
  <si>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</si>
  <si>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</si>
  <si>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</si>
  <si>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</si>
  <si>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</si>
  <si>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</si>
  <si>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</si>
  <si>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</si>
  <si>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</si>
  <si>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</si>
  <si>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</si>
  <si>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</si>
  <si>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</si>
  <si>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</si>
  <si>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</si>
  <si>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</si>
  <si>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</si>
  <si>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</si>
  <si>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</si>
  <si>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</si>
  <si>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</si>
  <si>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</si>
  <si>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</si>
  <si>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</si>
  <si>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</si>
  <si>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</si>
  <si>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</si>
  <si>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</si>
  <si>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</si>
  <si>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</si>
  <si>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</si>
  <si>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</si>
  <si>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</si>
  <si>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</si>
  <si>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</si>
  <si>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</si>
  <si>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</si>
  <si>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</si>
  <si>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</si>
  <si>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</si>
  <si>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</si>
  <si>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</si>
  <si>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</si>
  <si>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</si>
  <si>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</si>
  <si>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</si>
  <si>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</si>
  <si>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</si>
  <si>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</si>
  <si>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</si>
  <si>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</si>
  <si>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</si>
  <si>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</si>
  <si>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</si>
  <si>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</si>
  <si>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</si>
  <si>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</si>
  <si>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</si>
  <si>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</si>
  <si>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</si>
  <si>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</si>
  <si>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</si>
  <si>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</si>
  <si>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</si>
  <si>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</si>
  <si>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</si>
  <si>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</si>
  <si>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</si>
  <si>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</si>
  <si>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</si>
  <si>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</si>
  <si>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</si>
  <si>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</si>
  <si>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</si>
  <si>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</si>
  <si>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</si>
  <si>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</si>
  <si>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</si>
  <si>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</si>
  <si>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</si>
  <si>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</si>
  <si>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</si>
  <si>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</si>
  <si>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</si>
  <si>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</si>
  <si>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</si>
  <si>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</si>
  <si>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</si>
  <si>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</si>
  <si>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</si>
  <si>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</si>
  <si>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</si>
  <si>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</si>
  <si>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</si>
  <si>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</si>
  <si>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</si>
  <si>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</si>
  <si>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</si>
  <si>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</si>
  <si>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</si>
  <si>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</si>
  <si>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</si>
  <si>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</si>
  <si>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</si>
  <si>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</si>
  <si>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</si>
  <si>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</si>
  <si>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</si>
  <si>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</si>
  <si>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</si>
  <si>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</si>
  <si>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</si>
  <si>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</si>
  <si>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</si>
  <si>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</si>
  <si>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</si>
  <si>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</si>
  <si>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</si>
  <si>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</si>
  <si>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</si>
  <si>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</si>
  <si>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</si>
  <si>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</si>
  <si>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</si>
  <si>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</si>
  <si>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</si>
  <si>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</si>
  <si>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</si>
  <si>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</si>
  <si>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</si>
  <si>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</si>
  <si>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</si>
  <si>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</si>
  <si>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</si>
  <si>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</si>
  <si>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</si>
  <si>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</si>
  <si>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</si>
  <si>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</si>
  <si>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</si>
  <si>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</si>
  <si>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</si>
  <si>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</si>
  <si>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</si>
  <si>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</si>
  <si>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</si>
  <si>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</si>
  <si>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</si>
  <si>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</si>
  <si>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</si>
  <si>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</si>
  <si>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</si>
  <si>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</si>
  <si>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</si>
  <si>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</si>
  <si>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</si>
  <si>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</si>
  <si>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</si>
  <si>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</si>
  <si>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</si>
  <si>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</si>
  <si>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</si>
  <si>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</si>
  <si>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</si>
  <si>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</si>
  <si>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</si>
  <si>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</si>
  <si>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</si>
  <si>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</si>
  <si>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</si>
  <si>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</si>
  <si>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</si>
  <si>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</si>
  <si>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</si>
  <si>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</si>
  <si>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</si>
  <si>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</si>
  <si>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</si>
  <si>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</si>
  <si>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</si>
  <si>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</si>
  <si>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</si>
  <si>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</si>
  <si>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</si>
  <si>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</si>
  <si>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</si>
  <si>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</si>
  <si>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</si>
  <si>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</si>
  <si>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</si>
  <si>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</si>
  <si>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</si>
  <si>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</si>
  <si>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</si>
  <si>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</si>
  <si>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</si>
  <si>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</si>
  <si>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</si>
  <si>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</si>
  <si>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</si>
  <si>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</si>
  <si>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</si>
  <si>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</si>
  <si>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</si>
  <si>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</si>
  <si>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</si>
  <si>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</si>
  <si>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</si>
  <si>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</si>
  <si>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</si>
  <si>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</si>
  <si>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</si>
  <si>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</si>
  <si>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</si>
  <si>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</si>
  <si>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</si>
  <si>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</si>
  <si>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</si>
  <si>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</si>
  <si>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</si>
  <si>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</si>
  <si>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</si>
  <si>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</si>
  <si>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</si>
  <si>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</si>
  <si>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</si>
  <si>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</si>
  <si>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</si>
  <si>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</si>
  <si>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</si>
  <si>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</si>
  <si>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</si>
  <si>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</si>
  <si>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</si>
  <si>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</si>
  <si>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</si>
  <si>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</si>
  <si>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</si>
  <si>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</si>
  <si>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</si>
  <si>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</si>
  <si>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</si>
  <si>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</si>
  <si>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</si>
  <si>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</si>
  <si>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</si>
  <si>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</si>
  <si>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</si>
  <si>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</si>
  <si>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</si>
  <si>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</si>
  <si>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</si>
  <si>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</si>
  <si>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</si>
  <si>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</si>
  <si>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</si>
  <si>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</si>
  <si>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</si>
  <si>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</si>
  <si>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</si>
  <si>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</si>
  <si>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</si>
  <si>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</si>
  <si>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</si>
  <si>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 xml:space="preserve"> WTR 656,658,629 and 633 performing work done then start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</si>
  <si>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</si>
  <si>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</si>
  <si>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</si>
  <si>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</si>
  <si>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</si>
  <si>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</si>
  <si>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</si>
  <si>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</si>
  <si>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</si>
  <si>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</si>
  <si>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</si>
  <si>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</si>
  <si>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</si>
  <si>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</si>
  <si>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</si>
  <si>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</si>
  <si>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</si>
  <si>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</si>
  <si>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</si>
  <si>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</si>
  <si>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</si>
  <si>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</si>
  <si>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</si>
  <si>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</si>
  <si>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</si>
  <si>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</si>
  <si>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</si>
  <si>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</si>
  <si>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</si>
  <si>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</si>
  <si>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</si>
  <si>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</si>
  <si>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</si>
  <si>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</si>
  <si>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</si>
  <si>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</si>
  <si>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</si>
  <si>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</si>
  <si>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</si>
  <si>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</si>
  <si>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</si>
  <si>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</si>
  <si>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</si>
  <si>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</si>
  <si>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</si>
  <si>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</si>
  <si>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</si>
  <si>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</si>
  <si>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</si>
  <si>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</si>
  <si>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</si>
  <si>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</si>
  <si>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</si>
  <si>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</si>
  <si>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</si>
  <si>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</si>
  <si>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</si>
  <si>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</si>
  <si>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</si>
  <si>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</si>
  <si>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</si>
  <si>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</si>
  <si>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</si>
  <si>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</si>
  <si>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</si>
  <si>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</si>
  <si>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</si>
  <si>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</si>
  <si>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</si>
  <si>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</si>
  <si>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</si>
  <si>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</si>
  <si>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</si>
  <si>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</si>
  <si>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</si>
  <si>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</si>
  <si>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</si>
  <si>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</si>
  <si>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</si>
  <si>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</si>
  <si>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</si>
  <si>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</si>
  <si>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</si>
  <si>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</si>
  <si>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</si>
  <si>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</si>
  <si>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</si>
  <si>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</si>
  <si>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</si>
  <si>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</si>
  <si>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</si>
  <si>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</si>
  <si>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</si>
  <si>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</si>
  <si>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</si>
  <si>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</si>
  <si>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</si>
  <si>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</si>
  <si>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</si>
  <si>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</si>
  <si>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</si>
  <si>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</si>
  <si>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</si>
  <si>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</si>
  <si>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</si>
  <si>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</si>
  <si>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</si>
  <si>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</si>
  <si>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</si>
  <si>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</si>
  <si>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</si>
  <si>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</si>
  <si>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</si>
  <si>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</si>
  <si>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</si>
  <si>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</si>
  <si>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</si>
  <si>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</si>
  <si>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</si>
  <si>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</si>
  <si>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</si>
  <si>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</si>
  <si>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</si>
  <si>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</si>
  <si>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</si>
  <si>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</si>
  <si>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</si>
  <si>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</si>
  <si>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</si>
  <si>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</si>
  <si>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</si>
  <si>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</si>
  <si>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</si>
  <si>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</si>
  <si>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</si>
  <si>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</si>
  <si>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</si>
  <si>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</si>
  <si>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</si>
  <si>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</si>
  <si>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</si>
  <si>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</si>
  <si>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</si>
  <si>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</si>
  <si>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</si>
  <si>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</si>
  <si>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</si>
  <si>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</si>
  <si>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</si>
  <si>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</si>
  <si>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</si>
  <si>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</si>
  <si>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</si>
  <si>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</si>
  <si>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</si>
  <si>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</si>
  <si>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</si>
  <si>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</si>
  <si>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</si>
  <si>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</si>
  <si>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</si>
  <si>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</si>
  <si>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</si>
  <si>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</si>
  <si>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</si>
  <si>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</si>
  <si>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</si>
  <si>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</si>
  <si>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</si>
  <si>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</si>
  <si>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</si>
  <si>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</si>
  <si>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</si>
  <si>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</si>
  <si>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</si>
  <si>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</si>
  <si>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</si>
  <si>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</si>
  <si>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</si>
  <si>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</si>
  <si>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</si>
  <si>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</si>
  <si>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</si>
  <si>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</si>
  <si>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</si>
  <si>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</si>
  <si>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</si>
  <si>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</si>
  <si>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</si>
  <si>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</si>
  <si>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</si>
  <si>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</si>
  <si>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</si>
  <si>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</si>
  <si>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</si>
  <si>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</si>
  <si>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</si>
  <si>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</si>
  <si>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</si>
  <si>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</si>
  <si>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</si>
  <si>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</si>
  <si>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</si>
  <si>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</si>
  <si>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</si>
  <si>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</si>
  <si>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</si>
  <si>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</si>
  <si>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</si>
  <si>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</si>
  <si>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</si>
  <si>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</si>
  <si>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</si>
  <si>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</si>
  <si>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</si>
  <si>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</si>
  <si>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</si>
  <si>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</si>
  <si>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</si>
  <si>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</si>
  <si>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</si>
  <si>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</si>
  <si>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</si>
  <si>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</si>
  <si>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</si>
  <si>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</si>
  <si>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</si>
  <si>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</si>
  <si>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</si>
  <si>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</si>
  <si>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</si>
  <si>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</si>
  <si>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</si>
  <si>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</si>
  <si>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</si>
  <si>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</si>
  <si>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</si>
  <si>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</si>
  <si>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</si>
  <si>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</si>
  <si>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</si>
  <si>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</si>
  <si>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</si>
  <si>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</si>
  <si>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</si>
  <si>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</si>
  <si>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</si>
  <si>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</si>
  <si>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</si>
  <si>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</si>
  <si>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</si>
  <si>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</si>
  <si>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</si>
  <si>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</si>
  <si>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</si>
  <si>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</si>
  <si>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</si>
  <si>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</si>
  <si>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</si>
  <si>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</si>
  <si>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</si>
  <si>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</si>
  <si>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</si>
  <si>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</si>
  <si>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</si>
  <si>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</si>
  <si>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Turbine stop for Generator slip ring  carbon Brush inspection work at that time found Phase M 8 nos. Power brush  wear out so replace also done track clean it then wip,</t>
  </si>
  <si>
    <t>At that time we found Slip ring Erthing brush also wear out so arrenge material than replace it and reset and started Turbine.</t>
  </si>
  <si>
    <t>check Event And Data log then apply soft reboot than reset &amp; started wtg.</t>
  </si>
  <si>
    <t>Turbine stop for Slipring Inspection work done than started Turbine.</t>
  </si>
  <si>
    <t>O2-06 Grid loss</t>
  </si>
  <si>
    <t>O2-21 Grid loss</t>
  </si>
  <si>
    <t>VCB Status found off Condition check ckt no any abnormalities so VCB chagre.</t>
  </si>
  <si>
    <t>Turbine stop for Ultrasonic Heater supply ckt inspection work.</t>
  </si>
  <si>
    <t>Attend and check related ckt and check Power Brush and brush was warn out so check power Track and found uneven so try to make smooth track by hemry paper and replace new carbon brush and discuss with supplier and technical team and take trail but track found uneven so power set at 500KW and started turbine Under observation.</t>
  </si>
  <si>
    <t xml:space="preserve">Attend and check Ultrasonic cable routing WG002 &amp; WG005 and also check Ultrasonic alignment and after replace both new Ultrasonic sensor and take trial more than 45 min. than no any abnormalities found so wip, </t>
  </si>
  <si>
    <t>After trial done than top to bottom down than reset and started Turbine.</t>
  </si>
  <si>
    <t>Attend and check Convertor Uper ambient temp. sensor found Ohm values is ok so clean fan filter no any other abnormality so reset and started Turbine.</t>
  </si>
  <si>
    <t>Attend and wtg Nacell Position Sensor fault warning and repeated error (wind Dir.diff.Level 1) so check and found wind sensor alignment not proper so wind sensor aligment properly done and also check axis 1 flat resistor 1.7 ohm faulty so replace it and check yaw releted repeated error, check and found yaw sensor switch setting is not proper so correct it then reset and started wtg.</t>
  </si>
  <si>
    <t>Attend Wtg and Anomaly related work like Blade calibration and ultrasonic value found deviation so alignment done than occurred error Battery under voltage/over voltage so check and found axis 3 flat resistor 1.7 ohm faulty so arrenge it and replace.</t>
  </si>
  <si>
    <t>Attend and wtg check Axis No 3 so found Pitch Encoder cable connection loose after tight and Repeated error occurred check found Axis no 1 flat resistor 1.7 ohm failure found after replace then trail so  ok after winch load test completed then reset and started wtg.</t>
  </si>
  <si>
    <t>Attend wtg check releted circuit so found Blade no 1  Flat resistor 1.7 ohm faulty after replace then reset and started wtg.</t>
  </si>
  <si>
    <t xml:space="preserve">Attend and check ckt then blade axis 2 chopper resistor 20 ohm found faulty so replacement work WIP </t>
  </si>
  <si>
    <t>After grid time replace chopper 20 ohm resistor work done after trail then reset and started wtg</t>
  </si>
  <si>
    <t>attend for repeated pitch error ( battery under voltage) check all related circuit then found axis 2 flat resistor 1.7 ohm faulty so replace it and check axis 3 found 2 nos chopper resistor 20 ohm faulty so replace it then start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</si>
</sst>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0">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71">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4"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4"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envionwindtechnologypvtltd-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9"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80" totalsRowShown="0" headerRowDxfId="157">
  <autoFilter ref="A1:AD1680"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9" totalsRowShown="0" headerRowDxfId="126" dataDxfId="124" headerRowBorderDxfId="125" headerRowCellStyle="Normal 26 2 2">
  <autoFilter ref="A1:AA159"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zoomScale="70" zoomScaleNormal="70" workbookViewId="0">
      <selection activeCell="B5" sqref="B5"/>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45869</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37">
        <v>1</v>
      </c>
      <c r="B10" s="56" t="s">
        <v>13</v>
      </c>
      <c r="C10" s="57">
        <f>_xlfn.XLOOKUP($B$4,'Daily KPI'!$A:$A,'Daily KPI'!$AD:$AD)/1000</f>
        <v>963.88316796059144</v>
      </c>
      <c r="D10" s="58">
        <f>_xlfn.XLOOKUP($B$4,'Daily KPI'!$A:$A,'Daily KPI'!$AA:$AA)/1000</f>
        <v>731.7</v>
      </c>
      <c r="E10" s="59">
        <f>D10/C10-1</f>
        <v>-0.2408831025152669</v>
      </c>
      <c r="F10" s="234"/>
    </row>
    <row r="11" spans="1:18">
      <c r="A11" s="638"/>
      <c r="B11" s="60" t="s">
        <v>14</v>
      </c>
      <c r="C11" s="61">
        <f>MonthlyKPI!$E$4</f>
        <v>29880.378206778336</v>
      </c>
      <c r="D11" s="62">
        <f>MonthlyKPI!F4</f>
        <v>21613.95</v>
      </c>
      <c r="E11" s="63">
        <f>D11/C11-1</f>
        <v>-0.27665072207496699</v>
      </c>
      <c r="F11" s="235"/>
    </row>
    <row r="12" spans="1:18" ht="15" thickBot="1">
      <c r="A12" s="639"/>
      <c r="B12" s="64" t="s">
        <v>15</v>
      </c>
      <c r="C12" s="65">
        <f>AnnualKPI!$E$4</f>
        <v>103031.6462398818</v>
      </c>
      <c r="D12" s="66">
        <f>AnnualKPI!F4</f>
        <v>85545</v>
      </c>
      <c r="E12" s="67">
        <f>D12/C12-1</f>
        <v>-0.16972111849177673</v>
      </c>
      <c r="F12" s="236"/>
    </row>
    <row r="13" spans="1:18">
      <c r="A13" s="637">
        <v>2</v>
      </c>
      <c r="B13" s="56" t="s">
        <v>16</v>
      </c>
      <c r="C13" s="68">
        <f>_xlfn.XLOOKUP($B$3,'Modelling New'!$D:$D,'Modelling New'!$J:$J)</f>
        <v>8.18</v>
      </c>
      <c r="D13" s="69">
        <f>_xlfn.XLOOKUP($B$4,'Daily KPI'!$A:$A,'Daily KPI'!$M:$M)</f>
        <v>7.150384615384616</v>
      </c>
      <c r="E13" s="59">
        <f t="shared" ref="E13:E39" si="0">(D13-C13)/(C13)</f>
        <v>-0.12586985141997356</v>
      </c>
      <c r="F13" s="234"/>
    </row>
    <row r="14" spans="1:18">
      <c r="A14" s="638"/>
      <c r="B14" s="60" t="s">
        <v>17</v>
      </c>
      <c r="C14" s="70">
        <f>MonthlyKPI!C4</f>
        <v>8.18</v>
      </c>
      <c r="D14" s="71">
        <f>MonthlyKPI!D4</f>
        <v>6.8857898695603907</v>
      </c>
      <c r="E14" s="63">
        <f t="shared" si="0"/>
        <v>-0.15821639736425538</v>
      </c>
      <c r="F14" s="235"/>
    </row>
    <row r="15" spans="1:18" ht="15" thickBot="1">
      <c r="A15" s="639"/>
      <c r="B15" s="64" t="s">
        <v>18</v>
      </c>
      <c r="C15" s="72">
        <f>AnnualKPI!C4</f>
        <v>7.2925000000000004</v>
      </c>
      <c r="D15" s="73">
        <f>AnnualKPI!D4</f>
        <v>6.8560401313215147</v>
      </c>
      <c r="E15" s="67">
        <f t="shared" si="0"/>
        <v>-5.9850513360094032E-2</v>
      </c>
      <c r="F15" s="236"/>
    </row>
    <row r="16" spans="1:18">
      <c r="A16" s="637">
        <v>3</v>
      </c>
      <c r="B16" s="56" t="s">
        <v>19</v>
      </c>
      <c r="C16" s="74">
        <f>_xlfn.XLOOKUP($B$3,'Modelling New'!$D:$D,'Modelling New'!$AE:$AE)</f>
        <v>0.96029999999999993</v>
      </c>
      <c r="D16" s="75">
        <f>_xlfn.XLOOKUP($B$4,'Daily KPI'!$A:$A,'Daily KPI'!$O:$O)</f>
        <v>0.99612065079712342</v>
      </c>
      <c r="E16" s="59">
        <f t="shared" si="0"/>
        <v>3.7301521188298957E-2</v>
      </c>
      <c r="F16" s="234"/>
      <c r="H16" s="100"/>
    </row>
    <row r="17" spans="1:6">
      <c r="A17" s="638"/>
      <c r="B17" s="60" t="s">
        <v>20</v>
      </c>
      <c r="C17" s="76">
        <f>_xlfn.XLOOKUP($B$3,'Modelling New'!$D:$D,'Modelling New'!$AE:$AE)</f>
        <v>0.96029999999999993</v>
      </c>
      <c r="D17" s="77">
        <f>MonthlyKPI!P4</f>
        <v>0.97256997077115215</v>
      </c>
      <c r="E17" s="63">
        <f t="shared" si="0"/>
        <v>1.2777226669949201E-2</v>
      </c>
      <c r="F17" s="235"/>
    </row>
    <row r="18" spans="1:6" ht="15" thickBot="1">
      <c r="A18" s="639"/>
      <c r="B18" s="64" t="s">
        <v>21</v>
      </c>
      <c r="C18" s="78">
        <f>_xlfn.XLOOKUP($B$3,'Modelling New'!$D:$D,'Modelling New'!$AE:$AE)</f>
        <v>0.96029999999999993</v>
      </c>
      <c r="D18" s="79">
        <f>AnnualKPI!P4</f>
        <v>0.94797984811765656</v>
      </c>
      <c r="E18" s="67">
        <f t="shared" si="0"/>
        <v>-1.2829482330879275E-2</v>
      </c>
      <c r="F18" s="236"/>
    </row>
    <row r="19" spans="1:6">
      <c r="A19" s="637">
        <v>4</v>
      </c>
      <c r="B19" s="56" t="s">
        <v>22</v>
      </c>
      <c r="C19" s="74">
        <f>_xlfn.XLOOKUP($B$3,'Modelling New'!$D:$D,'Modelling New'!$AF:$AF)</f>
        <v>0.995</v>
      </c>
      <c r="D19" s="75">
        <f>_xlfn.XLOOKUP($B$4,'Daily KPI'!$A:$A,'Daily KPI'!$R:$R)</f>
        <v>1</v>
      </c>
      <c r="E19" s="59">
        <f t="shared" si="0"/>
        <v>5.0251256281407079E-3</v>
      </c>
      <c r="F19" s="234"/>
    </row>
    <row r="20" spans="1:6">
      <c r="A20" s="638"/>
      <c r="B20" s="60" t="s">
        <v>23</v>
      </c>
      <c r="C20" s="76">
        <f>_xlfn.XLOOKUP($B$3,'Modelling New'!$D:$D,'Modelling New'!$AF:$AF)</f>
        <v>0.995</v>
      </c>
      <c r="D20" s="77">
        <f>MonthlyKPI!J4</f>
        <v>1</v>
      </c>
      <c r="E20" s="63">
        <f t="shared" si="0"/>
        <v>5.0251256281407079E-3</v>
      </c>
      <c r="F20" s="235"/>
    </row>
    <row r="21" spans="1:6" ht="15" thickBot="1">
      <c r="A21" s="639"/>
      <c r="B21" s="64" t="s">
        <v>24</v>
      </c>
      <c r="C21" s="78">
        <f>_xlfn.XLOOKUP($B$3,'Modelling New'!$D:$D,'Modelling New'!$AF:$AF)</f>
        <v>0.995</v>
      </c>
      <c r="D21" s="79">
        <f>AnnualKPI!J4</f>
        <v>1</v>
      </c>
      <c r="E21" s="67">
        <f t="shared" si="0"/>
        <v>5.0251256281407079E-3</v>
      </c>
      <c r="F21" s="236"/>
    </row>
    <row r="22" spans="1:6">
      <c r="A22" s="637">
        <v>5</v>
      </c>
      <c r="B22" s="56" t="s">
        <v>25</v>
      </c>
      <c r="C22" s="74">
        <f>_xlfn.XLOOKUP($B$3,'Modelling New'!$D:$D,'Modelling New'!$AI:$AI)</f>
        <v>0.99</v>
      </c>
      <c r="D22" s="75">
        <f>_xlfn.XLOOKUP($B$4,'Daily KPI'!$A:$A,'Daily KPI'!$Q:$Q)</f>
        <v>1</v>
      </c>
      <c r="E22" s="59">
        <f t="shared" si="0"/>
        <v>1.0101010101010111E-2</v>
      </c>
      <c r="F22" s="234"/>
    </row>
    <row r="23" spans="1:6">
      <c r="A23" s="638"/>
      <c r="B23" s="60" t="s">
        <v>26</v>
      </c>
      <c r="C23" s="76">
        <f>_xlfn.XLOOKUP($B$3,'Modelling New'!$D:$D,'Modelling New'!$AI:$AI)</f>
        <v>0.99</v>
      </c>
      <c r="D23" s="77">
        <f>MonthlyKPI!N4</f>
        <v>0.99655998966895609</v>
      </c>
      <c r="E23" s="63">
        <f t="shared" si="0"/>
        <v>6.6262521908647485E-3</v>
      </c>
      <c r="F23" s="235"/>
    </row>
    <row r="24" spans="1:6" ht="15" thickBot="1">
      <c r="A24" s="639"/>
      <c r="B24" s="64" t="s">
        <v>27</v>
      </c>
      <c r="C24" s="78">
        <f>_xlfn.XLOOKUP($B$3,'Modelling New'!$D:$D,'Modelling New'!$AI:$AI)</f>
        <v>0.99</v>
      </c>
      <c r="D24" s="79">
        <f>AnnualKPI!N4</f>
        <v>0.97566078764753006</v>
      </c>
      <c r="E24" s="67">
        <f t="shared" si="0"/>
        <v>-1.4484052881282759E-2</v>
      </c>
      <c r="F24" s="236"/>
    </row>
    <row r="25" spans="1:6">
      <c r="A25" s="637">
        <v>6</v>
      </c>
      <c r="B25" s="56" t="s">
        <v>28</v>
      </c>
      <c r="C25" s="75">
        <f>_xlfn.XLOOKUP($B$3,'Modelling New'!$D:$D,'Modelling New'!$AH:$AH)</f>
        <v>0.97</v>
      </c>
      <c r="D25" s="75">
        <f>_xlfn.XLOOKUP($B$4,'Daily KPI'!$A:$A,'Daily KPI'!$P:$P)</f>
        <v>0.99612065079712342</v>
      </c>
      <c r="E25" s="59">
        <f t="shared" ref="E25:E27" si="1">(D25-C25)/(C25)</f>
        <v>2.6928505976415926E-2</v>
      </c>
      <c r="F25" s="234"/>
    </row>
    <row r="26" spans="1:6">
      <c r="A26" s="638"/>
      <c r="B26" s="60" t="s">
        <v>29</v>
      </c>
      <c r="C26" s="77">
        <f>_xlfn.XLOOKUP($B$3,'Modelling New'!$D:$D,'Modelling New'!$AH:$AH)</f>
        <v>0.97</v>
      </c>
      <c r="D26" s="77">
        <f>MonthlyKPI!$L$4</f>
        <v>0.97592717031939735</v>
      </c>
      <c r="E26" s="63">
        <f t="shared" si="1"/>
        <v>6.1104848653581231E-3</v>
      </c>
      <c r="F26" s="235"/>
    </row>
    <row r="27" spans="1:6" ht="15" thickBot="1">
      <c r="A27" s="639"/>
      <c r="B27" s="64" t="s">
        <v>30</v>
      </c>
      <c r="C27" s="79">
        <f>_xlfn.XLOOKUP($B$3,'Modelling New'!$D:$D,'Modelling New'!$AH:$AH)</f>
        <v>0.97</v>
      </c>
      <c r="D27" s="79">
        <f>AnnualKPI!$L$4</f>
        <v>0.97162852101844066</v>
      </c>
      <c r="E27" s="67">
        <f t="shared" si="1"/>
        <v>1.6788876478769973E-3</v>
      </c>
      <c r="F27" s="236"/>
    </row>
    <row r="28" spans="1:6">
      <c r="A28" s="637">
        <v>7</v>
      </c>
      <c r="B28" s="56" t="s">
        <v>31</v>
      </c>
      <c r="C28" s="74">
        <f>_xlfn.XLOOKUP($B$4,'Daily KPI'!$A:$A,'Daily KPI'!$AF:$AF)</f>
        <v>0.57210539408867012</v>
      </c>
      <c r="D28" s="75">
        <f>_xlfn.XLOOKUP($B$4,'Daily KPI'!$A:$A,'Daily KPI'!$W:$W)</f>
        <v>0.43429487179487175</v>
      </c>
      <c r="E28" s="59">
        <f t="shared" si="0"/>
        <v>-0.24088310251526704</v>
      </c>
      <c r="F28" s="234"/>
    </row>
    <row r="29" spans="1:6">
      <c r="A29" s="638"/>
      <c r="B29" s="60" t="s">
        <v>32</v>
      </c>
      <c r="C29" s="76">
        <f>MonthlyKPI!$G$4</f>
        <v>0.57210539408867012</v>
      </c>
      <c r="D29" s="77">
        <f>MonthlyKPI!H4</f>
        <v>0.41383202371105599</v>
      </c>
      <c r="E29" s="63">
        <f t="shared" si="0"/>
        <v>-0.27665072207496699</v>
      </c>
      <c r="F29" s="235"/>
    </row>
    <row r="30" spans="1:6" ht="15" thickBot="1">
      <c r="A30" s="639"/>
      <c r="B30" s="64" t="s">
        <v>33</v>
      </c>
      <c r="C30" s="78">
        <f>AnnualKPI!$G$4</f>
        <v>0.50125931296939352</v>
      </c>
      <c r="D30" s="79">
        <f>AnnualKPI!H4</f>
        <v>0.41618502171780858</v>
      </c>
      <c r="E30" s="67">
        <f t="shared" si="0"/>
        <v>-0.16972111849177654</v>
      </c>
      <c r="F30" s="236"/>
    </row>
    <row r="31" spans="1:6">
      <c r="A31" s="637">
        <v>8</v>
      </c>
      <c r="B31" s="56" t="s">
        <v>34</v>
      </c>
      <c r="C31" s="210">
        <f>_xlfn.XLOOKUP($B$4,'Daily KPI'!$A:$A,'Daily KPI'!$AP:$AP)</f>
        <v>0.05</v>
      </c>
      <c r="D31" s="211">
        <f>_xlfn.XLOOKUP($B$4,'Daily KPI'!$A:$A,'Daily KPI'!$AN:$AN)</f>
        <v>2.6847155020840924E-2</v>
      </c>
      <c r="E31" s="59">
        <f>-(D31-C31)/(C31)</f>
        <v>0.46305689958318158</v>
      </c>
      <c r="F31" s="237"/>
    </row>
    <row r="32" spans="1:6">
      <c r="A32" s="638"/>
      <c r="B32" s="60" t="s">
        <v>35</v>
      </c>
      <c r="C32" s="212">
        <f>_xlfn.XLOOKUP($B$3,'Modelling New'!$D:$D,'Modelling New'!$AK:$AK)</f>
        <v>0.05</v>
      </c>
      <c r="D32" s="213">
        <f>MonthlyKPI!$U$4</f>
        <v>2.6838679081230686E-2</v>
      </c>
      <c r="E32" s="63">
        <f t="shared" ref="E32:E33" si="2">-(D32-C32)/(C32)</f>
        <v>0.46322641837538631</v>
      </c>
      <c r="F32" s="238"/>
    </row>
    <row r="33" spans="1:7" ht="15" thickBot="1">
      <c r="A33" s="639"/>
      <c r="B33" s="64" t="s">
        <v>36</v>
      </c>
      <c r="C33" s="214">
        <f>_xlfn.XLOOKUP($B$3,'Modelling New'!$D:$D,'Modelling New'!$AK:$AK)</f>
        <v>0.05</v>
      </c>
      <c r="D33" s="215">
        <f>AnnualKPI!$R$4</f>
        <v>3.43142594698315E-2</v>
      </c>
      <c r="E33" s="67">
        <f t="shared" si="2"/>
        <v>0.31371481060337003</v>
      </c>
      <c r="F33" s="239"/>
      <c r="G33" s="209"/>
    </row>
    <row r="34" spans="1:7">
      <c r="A34" s="637">
        <v>9</v>
      </c>
      <c r="B34" s="56" t="s">
        <v>37</v>
      </c>
      <c r="C34" s="74">
        <f>_xlfn.XLOOKUP($B$4,'Daily KPI'!$A:$A,'Daily KPI'!$AQ:$AQ)</f>
        <v>0.05</v>
      </c>
      <c r="D34" s="211">
        <f>_xlfn.XLOOKUP($B$4,'Daily KPI'!$A:$A,'Daily KPI'!$AO:$AO)</f>
        <v>2.9921823255121124E-3</v>
      </c>
      <c r="E34" s="59">
        <f>-(D34-C34)/(C34)</f>
        <v>0.94015635348975779</v>
      </c>
      <c r="F34" s="237"/>
      <c r="G34" s="209"/>
    </row>
    <row r="35" spans="1:7">
      <c r="A35" s="638"/>
      <c r="B35" s="60" t="s">
        <v>38</v>
      </c>
      <c r="C35" s="76">
        <f>_xlfn.XLOOKUP($B$3,'Modelling New'!$D:$D,'Modelling New'!$AL:$AL)</f>
        <v>0.05</v>
      </c>
      <c r="D35" s="217">
        <f>MonthlyKPI!$V$4</f>
        <v>7.8498995423124229E-3</v>
      </c>
      <c r="E35" s="63">
        <f>-(D35-C35)/(C35)</f>
        <v>0.84300200915375156</v>
      </c>
      <c r="F35" s="238"/>
      <c r="G35" s="209"/>
    </row>
    <row r="36" spans="1:7" ht="15" thickBot="1">
      <c r="A36" s="639"/>
      <c r="B36" s="64" t="s">
        <v>39</v>
      </c>
      <c r="C36" s="78">
        <f>_xlfn.XLOOKUP($B$3,'Modelling New'!$D:$D,'Modelling New'!$AL:$AL)</f>
        <v>0.05</v>
      </c>
      <c r="D36" s="215">
        <f>AnnualKPI!$S$4</f>
        <v>7.9531023515452947E-3</v>
      </c>
      <c r="E36" s="67">
        <f>-(D36-C36)/(C36)</f>
        <v>0.84093795296909413</v>
      </c>
      <c r="F36" s="239"/>
      <c r="G36" s="209"/>
    </row>
    <row r="37" spans="1:7">
      <c r="A37" s="637">
        <v>10</v>
      </c>
      <c r="B37" s="56" t="s">
        <v>40</v>
      </c>
      <c r="C37" s="201">
        <f>IFERROR(_xlfn.XLOOKUP($B$4,'Daily KPI'!$A:$A,'Daily KPI'!$AI:$AI),"")</f>
        <v>800.33</v>
      </c>
      <c r="D37" s="202">
        <f>IFERROR(_xlfn.XLOOKUP($B$4,'Daily KPI'!A:A,'Daily KPI'!$X:$X)/1000,"")</f>
        <v>751.88599999999997</v>
      </c>
      <c r="E37" s="59">
        <f t="shared" si="0"/>
        <v>-6.0530031362063239E-2</v>
      </c>
      <c r="F37" s="237"/>
      <c r="G37" s="209"/>
    </row>
    <row r="38" spans="1:7">
      <c r="A38" s="638"/>
      <c r="B38" s="60" t="s">
        <v>41</v>
      </c>
      <c r="C38" s="203">
        <f>MonthlyKPI!$T$4</f>
        <v>23460.410000000007</v>
      </c>
      <c r="D38" s="204">
        <f>IFERROR(SUMIF('Daily KPI'!D:D,$B$3,'Daily KPI'!$X:$X)/1000,"")</f>
        <v>22231.845000000001</v>
      </c>
      <c r="E38" s="63">
        <f t="shared" si="0"/>
        <v>-5.2367584368730367E-2</v>
      </c>
      <c r="F38" s="238"/>
      <c r="G38" s="209"/>
    </row>
    <row r="39" spans="1:7" ht="15" thickBot="1">
      <c r="A39" s="639"/>
      <c r="B39" s="64" t="s">
        <v>42</v>
      </c>
      <c r="C39" s="205">
        <f>AnnualKPI!$Q$4</f>
        <v>92884.614499999981</v>
      </c>
      <c r="D39" s="206">
        <f>IFERROR(SUMIFS('Daily KPI'!$X:$X,'Daily KPI'!$A:$A,"&gt;="&amp;O2Summary!$B$6,'Daily KPI'!$A:$A,"&lt;="&amp;O2Summary!$B$4)/1000,"")</f>
        <v>88371.771999999997</v>
      </c>
      <c r="E39" s="67">
        <f t="shared" si="0"/>
        <v>-4.8585468371621275E-2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45869</v>
      </c>
      <c r="C1" s="34">
        <v>0</v>
      </c>
      <c r="D1" s="34">
        <v>0</v>
      </c>
      <c r="E1" s="34">
        <v>0</v>
      </c>
      <c r="F1" s="34">
        <v>0</v>
      </c>
    </row>
    <row r="2" spans="1:22" ht="29.25" customHeight="1">
      <c r="A2" s="640" t="s">
        <v>64</v>
      </c>
      <c r="B2" s="641"/>
      <c r="C2" s="641"/>
      <c r="D2" s="641"/>
      <c r="E2" s="641"/>
      <c r="F2" s="641"/>
      <c r="G2" s="641"/>
      <c r="H2" s="641"/>
      <c r="I2" s="641"/>
      <c r="J2" s="641"/>
      <c r="K2" s="641"/>
      <c r="L2" s="641"/>
      <c r="M2" s="641"/>
      <c r="N2" s="641"/>
      <c r="O2" s="641"/>
      <c r="P2" s="641"/>
      <c r="Q2" s="641"/>
      <c r="R2" s="641"/>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31</v>
      </c>
      <c r="C4" s="117">
        <f>IFERROR(_xlfn.XLOOKUP($A$4,'Modelling New'!$D:$D,'Modelling New'!$AC:$AC),"")</f>
        <v>8.18</v>
      </c>
      <c r="D4" s="118">
        <f>AVERAGEIF('Daily KPI'!$D:$D,$A$4,'Daily KPI'!$M:$M)</f>
        <v>6.8857898695603907</v>
      </c>
      <c r="E4" s="116">
        <f>IFERROR(_xlfn.XLOOKUP($A$4,'Modelling New'!$D:$D,'Modelling New'!$U:$U),"")</f>
        <v>29880.378206778336</v>
      </c>
      <c r="F4" s="119">
        <f>SUMIFS('Daily KPI'!$AA:$AA,'Daily KPI'!$D:$D,$A$4)/1000</f>
        <v>21613.95</v>
      </c>
      <c r="G4" s="120">
        <f>IFERROR(_xlfn.XLOOKUP($A$4,'Modelling New'!$D:$D,'Modelling New'!$X:$X),"")</f>
        <v>0.57210539408867012</v>
      </c>
      <c r="H4" s="121">
        <f>F4/(24*B4*(_xlfn.XLOOKUP($B$1,'Daily KPI'!$A:$A,'Daily KPI'!$AR:$AR)))</f>
        <v>0.41383202371105599</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0.97592717031939735</v>
      </c>
      <c r="M4" s="120">
        <f>_xlfn.XLOOKUP($A$4,'Modelling New'!$D:$D,'Modelling New'!$AI:$AI)</f>
        <v>0.99</v>
      </c>
      <c r="N4" s="121">
        <f>AVERAGEIFS('Daily KPI'!$Q:$Q,'Daily KPI'!$A:$A,"&lt;="&amp;MonthlyKPI!$B$1,'Daily KPI'!$D:$D,$A$4)</f>
        <v>0.99655998966895609</v>
      </c>
      <c r="O4" s="120">
        <f>K4*M4</f>
        <v>0.96029999999999993</v>
      </c>
      <c r="P4" s="122">
        <f>L4*N4</f>
        <v>0.97256997077115215</v>
      </c>
      <c r="Q4" s="116">
        <f>SUMIFS('Daily KPI'!$X:$X,'Daily KPI'!$D:$D,$A$4)/1000</f>
        <v>22231.845000000001</v>
      </c>
      <c r="R4" s="122">
        <f>Q4/F4-1</f>
        <v>2.858778705419418E-2</v>
      </c>
      <c r="S4" s="116">
        <f>SUMIFS(Input_Raw!BQ:BQ,Input_Raw!A:A,"&gt;="&amp;A4,Input_Raw!A:A,"&lt;="&amp;B1)</f>
        <v>23460.410000000007</v>
      </c>
      <c r="T4" s="119">
        <f>SUMIFS('Daily KPI'!$AI:$AI,'Daily KPI'!$D:$D,$A$4)</f>
        <v>23460.410000000007</v>
      </c>
      <c r="U4" s="200">
        <f>IFERROR(AVERAGEIFS('Daily KPI'!$AN:$AN,'Daily KPI'!$D:$D,MonthlyKPI!$A$4,'Daily KPI'!$A:$A,"&lt;="&amp;MonthlyKPI!$B$1),"")</f>
        <v>2.6838679081230686E-2</v>
      </c>
      <c r="V4" s="199">
        <f>AVERAGEIFS('Daily KPI'!$AO:$AO,'Daily KPI'!$A:$A,"&lt;="&amp;MonthlyKPI!$B$1,'Daily KPI'!$D:$D,$A$4)</f>
        <v>7.8498995423124229E-3</v>
      </c>
    </row>
    <row r="6" spans="1:22" ht="29.25" customHeight="1">
      <c r="Q6" s="2"/>
    </row>
    <row r="7" spans="1:22" ht="29.25" customHeight="1">
      <c r="A7" s="32" t="s">
        <v>69</v>
      </c>
      <c r="B7" s="33">
        <f>B8-6</f>
        <v>45863</v>
      </c>
      <c r="D7" s="36"/>
      <c r="F7" s="36"/>
    </row>
    <row r="8" spans="1:22" ht="29.25" customHeight="1">
      <c r="A8" s="32" t="s">
        <v>70</v>
      </c>
      <c r="B8" s="33">
        <f>B1</f>
        <v>45869</v>
      </c>
    </row>
    <row r="9" spans="1:22" ht="29.25" customHeight="1">
      <c r="A9" s="640" t="s">
        <v>71</v>
      </c>
      <c r="B9" s="641"/>
      <c r="C9" s="641"/>
      <c r="D9" s="641"/>
      <c r="E9" s="641"/>
      <c r="F9" s="641"/>
      <c r="G9" s="641"/>
      <c r="H9" s="641"/>
      <c r="I9" s="641"/>
      <c r="J9" s="641"/>
      <c r="K9" s="641"/>
      <c r="L9" s="641"/>
      <c r="M9" s="641"/>
      <c r="N9" s="641"/>
      <c r="O9" s="641"/>
      <c r="P9" s="641"/>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8.1101179588981012</v>
      </c>
      <c r="E11" s="116">
        <f>SUMIFS('Daily KPI'!$AD:$AD,'Daily KPI'!$A:$A,"&gt;="&amp;$B$7,'Daily KPI'!$A:$A,"&lt;="&amp;$B$8)/1000</f>
        <v>6747.1821757241405</v>
      </c>
      <c r="F11" s="119">
        <f>SUMIFS('Daily KPI'!$AA:$AA,'Daily KPI'!$A:$A,"&gt;="&amp;$B$7,'Daily KPI'!$A:$A,"&lt;="&amp;$B$8)/1000</f>
        <v>7074.45</v>
      </c>
      <c r="G11" s="120">
        <f>E11/(24*$B$11*'Basic Data'!$K$3)</f>
        <v>0.57210539408866989</v>
      </c>
      <c r="H11" s="121">
        <f>F11/(24*B11*'Basic Data'!$K$3)</f>
        <v>0.59985500610500575</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0.9947377428722961</v>
      </c>
      <c r="M11" s="120">
        <f>_xlfn.XLOOKUP($A$4,'Modelling New'!$D:$D,'Modelling New'!$AI:$AI)</f>
        <v>0.99</v>
      </c>
      <c r="N11" s="121">
        <f>AVERAGEIFS('Daily KPI'!$Q:$Q,'Daily KPI'!$A:$A,"&gt;="&amp;$B$7,'Daily KPI'!$A:$A,"&lt;="&amp;$B$8)</f>
        <v>0.99958201970805827</v>
      </c>
      <c r="O11" s="120">
        <f>K11*M11</f>
        <v>0.96029999999999993</v>
      </c>
      <c r="P11" s="122">
        <f>L11*N11</f>
        <v>0.99432196210012491</v>
      </c>
      <c r="Q11" s="116">
        <f>SUMIFS(Input_Raw!BQ:BQ,Input_Raw!A:A,"&gt;="&amp;B7,Input_Raw!A:A,"&lt;="&amp;B8)</f>
        <v>7608.1</v>
      </c>
    </row>
    <row r="14" spans="1:22" ht="29.25" customHeight="1">
      <c r="A14" s="32" t="s">
        <v>69</v>
      </c>
      <c r="B14" s="33">
        <f>B15-29</f>
        <v>45840</v>
      </c>
      <c r="D14" s="36"/>
      <c r="F14" s="36"/>
    </row>
    <row r="15" spans="1:22" ht="29.25" customHeight="1">
      <c r="A15" s="32" t="s">
        <v>70</v>
      </c>
      <c r="B15" s="33">
        <f>B8</f>
        <v>45869</v>
      </c>
    </row>
    <row r="16" spans="1:22" ht="29.25" customHeight="1">
      <c r="A16" s="640" t="s">
        <v>72</v>
      </c>
      <c r="B16" s="641"/>
      <c r="C16" s="641"/>
      <c r="D16" s="641"/>
      <c r="E16" s="641"/>
      <c r="F16" s="641"/>
      <c r="G16" s="641"/>
      <c r="H16" s="641"/>
      <c r="I16" s="641"/>
      <c r="J16" s="641"/>
      <c r="K16" s="641"/>
      <c r="L16" s="641"/>
      <c r="M16" s="641"/>
      <c r="N16" s="641"/>
      <c r="O16" s="641"/>
      <c r="P16" s="641"/>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6.8619223023518918</v>
      </c>
      <c r="E18" s="116">
        <f>SUMIFS('Daily KPI'!$AD:$AD,'Daily KPI'!$A:$A,"&gt;="&amp;$B$14,'Daily KPI'!$A:$A,"&lt;="&amp;$B$15)/1000</f>
        <v>28916.495038817746</v>
      </c>
      <c r="F18" s="119">
        <f>SUMIFS('Daily KPI'!$X:$X,'Daily KPI'!$A:$A,"&gt;="&amp;$B$14,'Daily KPI'!$A:$A,"&lt;="&amp;$B$15)/1000</f>
        <v>21352.2</v>
      </c>
      <c r="G18" s="120">
        <f>E18/(24*$B$18*'Basic Data'!$K$3)</f>
        <v>0.57210539408866989</v>
      </c>
      <c r="H18" s="121">
        <f>F18/(24*B18*'Basic Data'!$K$3)</f>
        <v>0.42244776828110142</v>
      </c>
      <c r="I18" s="120">
        <v>0.997</v>
      </c>
      <c r="J18" s="121">
        <f>AVERAGEIFS('Daily KPI'!$R:$R,'Daily KPI'!$A:$A,"&gt;="&amp;$B$14,'Daily KPI'!$A:$A,"&lt;="&amp;$B$15)</f>
        <v>1</v>
      </c>
      <c r="K18" s="120">
        <v>0.98599999999999999</v>
      </c>
      <c r="L18" s="121">
        <f>AVERAGEIFS('Daily KPI'!$P:$P,'Daily KPI'!$A:$A,"&gt;="&amp;$B$14,'Daily KPI'!$A:$A,"&lt;="&amp;$B$15)</f>
        <v>0.97681721967458301</v>
      </c>
      <c r="M18" s="120">
        <v>0.995</v>
      </c>
      <c r="N18" s="121">
        <f>AVERAGEIFS('Daily KPI'!$Q:$Q,'Daily KPI'!$A:$A,"&gt;="&amp;$B$14,'Daily KPI'!$A:$A,"&lt;="&amp;$B$15)</f>
        <v>0.99660814267659115</v>
      </c>
      <c r="O18" s="120">
        <f>K18*M18</f>
        <v>0.98107</v>
      </c>
      <c r="P18" s="122">
        <f>L18*N18</f>
        <v>0.97350399503439788</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I109" sqref="I109"/>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9.3977190173334453</v>
      </c>
      <c r="N122" s="170">
        <f>IFERROR(_xlfn.XLOOKUP($A122,Input_Raw!$A:$A,Input_Raw!BH:BH),"")</f>
        <v>0</v>
      </c>
      <c r="O122" s="173">
        <f t="shared" si="9"/>
        <v>0.99822394440999052</v>
      </c>
      <c r="P122" s="173">
        <f>IFERROR(1-SUMIF(WTG_BD!$F:$F,$A122,WTG_BD!$AA:$AA)/($AA122+SUMIF(WTG_BD!$F:$F,$A122,WTG_BD!$AA:$AA)),"")</f>
        <v>0.99822394440999052</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1438728</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1462.68</v>
      </c>
      <c r="AJ122" s="167"/>
      <c r="AK122" s="167"/>
      <c r="AL122" s="167"/>
      <c r="AM122" s="167"/>
      <c r="AN122" s="175">
        <f>IFERROR(_xlfn.XLOOKUP($A122,Input_Raw!$A:$A,Input_Raw!$BN:$BN),"")</f>
        <v>3.3834053413848902E-2</v>
      </c>
      <c r="AO122" s="174">
        <f>IFERROR((_xlfn.XLOOKUP($A122,'WTG Reactive Power'!$A:$A,'WTG Reactive Power'!$AE:$AE))/Table13[[#This Row],[Gen_Exp (kWh)]],"")</f>
        <v>3.1276377466762312E-3</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f>IFERROR(_xlfn.XLOOKUP($A123,Input_Raw!$A:$A,Input_Raw!BG:BG),"")</f>
        <v>9.676188571458173</v>
      </c>
      <c r="N123" s="170">
        <f>IFERROR(_xlfn.XLOOKUP($A123,Input_Raw!$A:$A,Input_Raw!BH:BH),"")</f>
        <v>0</v>
      </c>
      <c r="O123" s="173">
        <f t="shared" si="9"/>
        <v>0.98739224163289196</v>
      </c>
      <c r="P123" s="173">
        <f>IFERROR(1-SUMIF(WTG_BD!$F:$F,$A123,WTG_BD!$AA:$AA)/($AA123+SUMIF(WTG_BD!$F:$F,$A123,WTG_BD!$AA:$AA)),"")</f>
        <v>0.98739224163289196</v>
      </c>
      <c r="Q123" s="173">
        <f>IFERROR(1-SUMIF(IGA_BD!$F:$F,$A123,IGA_BD!$X:$X)/($AA123+SUMIF(IGA_BD!$F:$F,$A123,IGA_BD!$X:$X)),"")</f>
        <v>1</v>
      </c>
      <c r="R123" s="173">
        <f>IFERROR(1-SUMIF(Grid_BD!$F:$F,$A123,Grid_BD!$Y:$Y)/($AA123+SUMIF(Grid_BD!$F:$F,$A123,Grid_BD!$Y:$Y)),"")</f>
        <v>1</v>
      </c>
      <c r="S123" s="167"/>
      <c r="T123" s="172"/>
      <c r="U123" s="173"/>
      <c r="V123" s="167"/>
      <c r="W123" s="174">
        <f t="shared" si="10"/>
        <v>0.82772435897435881</v>
      </c>
      <c r="X123" s="167">
        <f>IFERROR(_xlfn.XLOOKUP($A123,Input_Raw!$A:$A,Input_Raw!$BF:$BF),"")</f>
        <v>1445553</v>
      </c>
      <c r="Y123" s="167">
        <f>IFERROR(_xlfn.XLOOKUP($A123,Input_Raw!$A:$A,Input_Raw!BJ:BJ),"")</f>
        <v>1394550</v>
      </c>
      <c r="Z123" s="167">
        <f>IFERROR(_xlfn.XLOOKUP($A123,Input_Raw!$A:$A,Input_Raw!BK:BK),"")</f>
        <v>0</v>
      </c>
      <c r="AA123" s="167">
        <f>IFERROR(_xlfn.XLOOKUP($A123,Input_Raw!$A:$A,Input_Raw!BL:BL),"")</f>
        <v>1394550</v>
      </c>
      <c r="AB123" s="167">
        <f>IFERROR(_xlfn.XLOOKUP($A123,Input_Raw!$A:$A,Input_Raw!$BO:$BO),"")</f>
        <v>70.2</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f>IFERROR(_xlfn.XLOOKUP($A123,Input_Raw!$A:$A,Input_Raw!$BQ:$BQ),"")</f>
        <v>1492.15</v>
      </c>
      <c r="AJ123" s="167"/>
      <c r="AK123" s="167"/>
      <c r="AL123" s="167"/>
      <c r="AM123" s="167"/>
      <c r="AN123" s="175">
        <f>IFERROR(_xlfn.XLOOKUP($A123,Input_Raw!$A:$A,Input_Raw!$BN:$BN),"")</f>
        <v>3.5282691122359398E-2</v>
      </c>
      <c r="AO123" s="174">
        <f>IFERROR((_xlfn.XLOOKUP($A123,'WTG Reactive Power'!$A:$A,'WTG Reactive Power'!$AE:$AE))/Table13[[#This Row],[Gen_Exp (kWh)]],"")</f>
        <v>2.8015299335271706E-3</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f>IFERROR(_xlfn.XLOOKUP($A124,Input_Raw!$A:$A,Input_Raw!BG:BG),"")</f>
        <v>9.4641544306512415</v>
      </c>
      <c r="N124" s="170">
        <f>IFERROR(_xlfn.XLOOKUP($A124,Input_Raw!$A:$A,Input_Raw!BH:BH),"")</f>
        <v>0</v>
      </c>
      <c r="O124" s="173">
        <f t="shared" si="9"/>
        <v>0.99239124260834344</v>
      </c>
      <c r="P124" s="173">
        <f>IFERROR(1-SUMIF(WTG_BD!$F:$F,$A124,WTG_BD!$AA:$AA)/($AA124+SUMIF(WTG_BD!$F:$F,$A124,WTG_BD!$AA:$AA)),"")</f>
        <v>0.99530336293982891</v>
      </c>
      <c r="Q124" s="173">
        <f>IFERROR(1-SUMIF(IGA_BD!$F:$F,$A124,IGA_BD!$X:$X)/($AA124+SUMIF(IGA_BD!$F:$F,$A124,IGA_BD!$X:$X)),"")</f>
        <v>0.99707413795640765</v>
      </c>
      <c r="R124" s="173">
        <f>IFERROR(1-SUMIF(Grid_BD!$F:$F,$A124,Grid_BD!$Y:$Y)/($AA124+SUMIF(Grid_BD!$F:$F,$A124,Grid_BD!$Y:$Y)),"")</f>
        <v>1</v>
      </c>
      <c r="S124" s="167"/>
      <c r="T124" s="172"/>
      <c r="U124" s="173"/>
      <c r="V124" s="167"/>
      <c r="W124" s="174">
        <f t="shared" si="10"/>
        <v>0.78819444444444431</v>
      </c>
      <c r="X124" s="167">
        <f>IFERROR(_xlfn.XLOOKUP($A124,Input_Raw!$A:$A,Input_Raw!$BF:$BF),"")</f>
        <v>1373899</v>
      </c>
      <c r="Y124" s="167">
        <f>IFERROR(_xlfn.XLOOKUP($A124,Input_Raw!$A:$A,Input_Raw!BJ:BJ),"")</f>
        <v>1327950</v>
      </c>
      <c r="Z124" s="167">
        <f>IFERROR(_xlfn.XLOOKUP($A124,Input_Raw!$A:$A,Input_Raw!BK:BK),"")</f>
        <v>0</v>
      </c>
      <c r="AA124" s="167">
        <f>IFERROR(_xlfn.XLOOKUP($A124,Input_Raw!$A:$A,Input_Raw!BL:BL),"")</f>
        <v>1327950</v>
      </c>
      <c r="AB124" s="167">
        <f>IFERROR(_xlfn.XLOOKUP($A124,Input_Raw!$A:$A,Input_Raw!$BO:$BO),"")</f>
        <v>70.2</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f>IFERROR(_xlfn.XLOOKUP($A124,Input_Raw!$A:$A,Input_Raw!$BQ:$BQ),"")</f>
        <v>1426.13</v>
      </c>
      <c r="AJ124" s="167"/>
      <c r="AK124" s="167"/>
      <c r="AL124" s="167"/>
      <c r="AM124" s="167"/>
      <c r="AN124" s="175">
        <f>IFERROR(_xlfn.XLOOKUP($A124,Input_Raw!$A:$A,Input_Raw!$BN:$BN),"")</f>
        <v>3.3444234255938753E-2</v>
      </c>
      <c r="AO124" s="174">
        <f>IFERROR((_xlfn.XLOOKUP($A124,'WTG Reactive Power'!$A:$A,'WTG Reactive Power'!$AE:$AE))/Table13[[#This Row],[Gen_Exp (kWh)]],"")</f>
        <v>2.947640255943124E-3</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f>IFERROR(_xlfn.XLOOKUP($A125,Input_Raw!$A:$A,Input_Raw!BG:BG),"")</f>
        <v>7.983076923076923</v>
      </c>
      <c r="N125" s="170">
        <f>IFERROR(_xlfn.XLOOKUP($A125,Input_Raw!$A:$A,Input_Raw!BH:BH),"")</f>
        <v>0</v>
      </c>
      <c r="O125" s="173">
        <f t="shared" si="9"/>
        <v>0.98954443184095342</v>
      </c>
      <c r="P125" s="173">
        <f>IFERROR(1-SUMIF(WTG_BD!$F:$F,$A125,WTG_BD!$AA:$AA)/($AA125+SUMIF(WTG_BD!$F:$F,$A125,WTG_BD!$AA:$AA)),"")</f>
        <v>0.98954443184095342</v>
      </c>
      <c r="Q125" s="173">
        <f>IFERROR(1-SUMIF(IGA_BD!$F:$F,$A125,IGA_BD!$X:$X)/($AA125+SUMIF(IGA_BD!$F:$F,$A125,IGA_BD!$X:$X)),"")</f>
        <v>1</v>
      </c>
      <c r="R125" s="173">
        <f>IFERROR(1-SUMIF(Grid_BD!$F:$F,$A125,Grid_BD!$Y:$Y)/($AA125+SUMIF(Grid_BD!$F:$F,$A125,Grid_BD!$Y:$Y)),"")</f>
        <v>1</v>
      </c>
      <c r="S125" s="167"/>
      <c r="T125" s="172"/>
      <c r="U125" s="173"/>
      <c r="V125" s="167"/>
      <c r="W125" s="174">
        <f t="shared" si="10"/>
        <v>0.55715811965811957</v>
      </c>
      <c r="X125" s="167">
        <f>IFERROR(_xlfn.XLOOKUP($A125,Input_Raw!$A:$A,Input_Raw!$BF:$BF),"")</f>
        <v>966484</v>
      </c>
      <c r="Y125" s="167">
        <f>IFERROR(_xlfn.XLOOKUP($A125,Input_Raw!$A:$A,Input_Raw!BJ:BJ),"")</f>
        <v>938700</v>
      </c>
      <c r="Z125" s="167">
        <f>IFERROR(_xlfn.XLOOKUP($A125,Input_Raw!$A:$A,Input_Raw!BK:BK),"")</f>
        <v>0</v>
      </c>
      <c r="AA125" s="167">
        <f>IFERROR(_xlfn.XLOOKUP($A125,Input_Raw!$A:$A,Input_Raw!BL:BL),"")</f>
        <v>938700</v>
      </c>
      <c r="AB125" s="167">
        <f>IFERROR(_xlfn.XLOOKUP($A125,Input_Raw!$A:$A,Input_Raw!$BO:$BO),"")</f>
        <v>70.2</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f>IFERROR(_xlfn.XLOOKUP($A125,Input_Raw!$A:$A,Input_Raw!$BQ:$BQ),"")</f>
        <v>1052.55</v>
      </c>
      <c r="AJ125" s="167"/>
      <c r="AK125" s="167"/>
      <c r="AL125" s="167"/>
      <c r="AM125" s="167"/>
      <c r="AN125" s="175">
        <f>IFERROR(_xlfn.XLOOKUP($A125,Input_Raw!$A:$A,Input_Raw!$BN:$BN),"")</f>
        <v>2.8747501251960714E-2</v>
      </c>
      <c r="AO125" s="174">
        <f>IFERROR((_xlfn.XLOOKUP($A125,'WTG Reactive Power'!$A:$A,'WTG Reactive Power'!$AE:$AE))/Table13[[#This Row],[Gen_Exp (kWh)]],"")</f>
        <v>3.2591331051522853E-3</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f>IFERROR(_xlfn.XLOOKUP($A126,Input_Raw!$A:$A,Input_Raw!BG:BG),"")</f>
        <v>7.150384615384616</v>
      </c>
      <c r="N126" s="170">
        <f>IFERROR(_xlfn.XLOOKUP($A126,Input_Raw!$A:$A,Input_Raw!BH:BH),"")</f>
        <v>0</v>
      </c>
      <c r="O126" s="173">
        <f t="shared" si="9"/>
        <v>0.99612065079712342</v>
      </c>
      <c r="P126" s="173">
        <f>IFERROR(1-SUMIF(WTG_BD!$F:$F,$A126,WTG_BD!$AA:$AA)/($AA126+SUMIF(WTG_BD!$F:$F,$A126,WTG_BD!$AA:$AA)),"")</f>
        <v>0.99612065079712342</v>
      </c>
      <c r="Q126" s="173">
        <f>IFERROR(1-SUMIF(IGA_BD!$F:$F,$A126,IGA_BD!$X:$X)/($AA126+SUMIF(IGA_BD!$F:$F,$A126,IGA_BD!$X:$X)),"")</f>
        <v>1</v>
      </c>
      <c r="R126" s="173">
        <f>IFERROR(1-SUMIF(Grid_BD!$F:$F,$A126,Grid_BD!$Y:$Y)/($AA126+SUMIF(Grid_BD!$F:$F,$A126,Grid_BD!$Y:$Y)),"")</f>
        <v>1</v>
      </c>
      <c r="S126" s="167"/>
      <c r="T126" s="172"/>
      <c r="U126" s="173"/>
      <c r="V126" s="167"/>
      <c r="W126" s="174">
        <f t="shared" si="10"/>
        <v>0.43429487179487175</v>
      </c>
      <c r="X126" s="167">
        <f>IFERROR(_xlfn.XLOOKUP($A126,Input_Raw!$A:$A,Input_Raw!$BF:$BF),"")</f>
        <v>751886</v>
      </c>
      <c r="Y126" s="167">
        <f>IFERROR(_xlfn.XLOOKUP($A126,Input_Raw!$A:$A,Input_Raw!BJ:BJ),"")</f>
        <v>731700</v>
      </c>
      <c r="Z126" s="167">
        <f>IFERROR(_xlfn.XLOOKUP($A126,Input_Raw!$A:$A,Input_Raw!BK:BK),"")</f>
        <v>0</v>
      </c>
      <c r="AA126" s="167">
        <f>IFERROR(_xlfn.XLOOKUP($A126,Input_Raw!$A:$A,Input_Raw!BL:BL),"")</f>
        <v>731700</v>
      </c>
      <c r="AB126" s="167">
        <f>IFERROR(_xlfn.XLOOKUP($A126,Input_Raw!$A:$A,Input_Raw!$BO:$BO),"")</f>
        <v>70.2</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f>IFERROR(_xlfn.XLOOKUP($A126,Input_Raw!$A:$A,Input_Raw!$BQ:$BQ),"")</f>
        <v>800.33</v>
      </c>
      <c r="AJ126" s="167"/>
      <c r="AK126" s="167"/>
      <c r="AL126" s="167"/>
      <c r="AM126" s="167"/>
      <c r="AN126" s="175">
        <f>IFERROR(_xlfn.XLOOKUP($A126,Input_Raw!$A:$A,Input_Raw!$BN:$BN),"")</f>
        <v>2.6847155020840924E-2</v>
      </c>
      <c r="AO126" s="174">
        <f>IFERROR((_xlfn.XLOOKUP($A126,'WTG Reactive Power'!$A:$A,'WTG Reactive Power'!$AE:$AE))/Table13[[#This Row],[Gen_Exp (kWh)]],"")</f>
        <v>2.9921823255121124E-3</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45869</v>
      </c>
      <c r="C1" s="115">
        <f>O2Summary!$B$3</f>
        <v>45839</v>
      </c>
    </row>
    <row r="2" spans="1:19" ht="21">
      <c r="A2" s="640" t="s">
        <v>44</v>
      </c>
      <c r="B2" s="641"/>
      <c r="C2" s="641"/>
      <c r="D2" s="641"/>
      <c r="E2" s="641"/>
      <c r="F2" s="641"/>
      <c r="G2" s="641"/>
      <c r="H2" s="641"/>
      <c r="I2" s="641"/>
      <c r="J2" s="641"/>
      <c r="K2" s="641"/>
      <c r="L2" s="641"/>
      <c r="M2" s="641"/>
      <c r="N2" s="641"/>
      <c r="O2" s="641"/>
      <c r="P2" s="641"/>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122</v>
      </c>
      <c r="C4" s="117">
        <f>_xlfn.XLOOKUP($C$1,'Modelling New'!$D:$D,'Modelling New'!$AD:$AD)</f>
        <v>7.2925000000000004</v>
      </c>
      <c r="D4" s="118">
        <f>AVERAGEIFS('Daily KPI'!$M:$M,'Daily KPI'!$A:$A,"&gt;="&amp;O2Summary!$B$6,'Daily KPI'!$A:$A,"&lt;="&amp;AnnualKPI!$B$1)</f>
        <v>6.8560401313215147</v>
      </c>
      <c r="E4" s="116">
        <f>_xlfn.XLOOKUP($C$1,'Modelling New'!$D:$D,'Modelling New'!$V:$V)</f>
        <v>103031.6462398818</v>
      </c>
      <c r="F4" s="119">
        <f>SUMIFS('Daily KPI'!$AA:$AA,'Daily KPI'!$A:$A,"&gt;="&amp;O2Summary!$B$6,'Daily KPI'!$A:$A,"&lt;="&amp;AnnualKPI!$B$1)/1000</f>
        <v>85545</v>
      </c>
      <c r="G4" s="120">
        <f>_xlfn.XLOOKUP($C$1,'Modelling New'!$D:$D,'Modelling New'!$Y:$Y)</f>
        <v>0.50125931296939352</v>
      </c>
      <c r="H4" s="121">
        <f>IFERROR(F4/(B4*24*(_xlfn.XLOOKUP($B$1,'Daily KPI'!$A:$A,'Daily KPI'!$AR:$AR))),"")</f>
        <v>0.41618502171780858</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0.97162852101844066</v>
      </c>
      <c r="M4" s="120">
        <f>_xlfn.XLOOKUP($C$1,'Modelling New'!$D:$D,'Modelling New'!$AI:$AI)</f>
        <v>0.99</v>
      </c>
      <c r="N4" s="122">
        <f>AVERAGEIFS('Daily KPI'!$Q:$Q,'Daily KPI'!$A:$A,"&gt;="&amp;O2Summary!$B$6,'Daily KPI'!$A:$A,"&lt;="&amp;AnnualKPI!$B$1)</f>
        <v>0.97566078764753006</v>
      </c>
      <c r="O4" s="120">
        <f>K4*M4</f>
        <v>0.96029999999999993</v>
      </c>
      <c r="P4" s="122">
        <f>L4*N4</f>
        <v>0.94797984811765656</v>
      </c>
      <c r="Q4" s="119">
        <f>SUMIFS('Daily KPI'!$AI:$AI,'Daily KPI'!$D:$D,"&gt;="&amp;O2Summary!$B$6,'Daily KPI'!$A:$A,"&lt;="&amp;AnnualKPI!$B$1)</f>
        <v>92884.614499999981</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45839</v>
      </c>
    </row>
    <row r="3" spans="1:27" ht="29.25" customHeight="1">
      <c r="A3" s="82" t="s">
        <v>70</v>
      </c>
      <c r="B3" s="83">
        <f>O2Summary!B4</f>
        <v>45869</v>
      </c>
      <c r="C3">
        <f>((B3-B2)+1)*24</f>
        <v>744</v>
      </c>
      <c r="D3" s="81">
        <f>MEDIAN(B21:AA21)</f>
        <v>6.8</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0.99928315412186386</v>
      </c>
      <c r="C5" s="155">
        <f>IFERROR(($C$3-C6)/$C$3,1)</f>
        <v>0.99928315412186386</v>
      </c>
      <c r="D5" s="155">
        <f t="shared" ref="D5:AA5" si="0">IFERROR(($C$3-D6)/$C$3,1)</f>
        <v>0.99928315412186386</v>
      </c>
      <c r="E5" s="155">
        <f t="shared" si="0"/>
        <v>0.99928315412186386</v>
      </c>
      <c r="F5" s="155">
        <f t="shared" si="0"/>
        <v>0.99928315412186386</v>
      </c>
      <c r="G5" s="155">
        <f t="shared" si="0"/>
        <v>0.99928315412186386</v>
      </c>
      <c r="H5" s="155">
        <f t="shared" si="0"/>
        <v>0.99928315412186386</v>
      </c>
      <c r="I5" s="155">
        <f t="shared" si="0"/>
        <v>0.99928315412186386</v>
      </c>
      <c r="J5" s="155">
        <f t="shared" si="0"/>
        <v>0.99928315412186386</v>
      </c>
      <c r="K5" s="155">
        <f t="shared" si="0"/>
        <v>0.99928315412186386</v>
      </c>
      <c r="L5" s="155">
        <f t="shared" si="0"/>
        <v>0.99928315412186386</v>
      </c>
      <c r="M5" s="155">
        <f t="shared" si="0"/>
        <v>0.99928315412186386</v>
      </c>
      <c r="N5" s="155">
        <f t="shared" si="0"/>
        <v>0.99928315412186386</v>
      </c>
      <c r="O5" s="155">
        <f t="shared" si="0"/>
        <v>0.99928315412186386</v>
      </c>
      <c r="P5" s="155">
        <f t="shared" si="0"/>
        <v>0.99928315412186386</v>
      </c>
      <c r="Q5" s="155">
        <f t="shared" si="0"/>
        <v>0.99928315412186386</v>
      </c>
      <c r="R5" s="155">
        <f t="shared" si="0"/>
        <v>0.99928315412186386</v>
      </c>
      <c r="S5" s="155">
        <f t="shared" si="0"/>
        <v>0.99928315412186386</v>
      </c>
      <c r="T5" s="155">
        <f t="shared" si="0"/>
        <v>0.99928315412186386</v>
      </c>
      <c r="U5" s="155">
        <f t="shared" si="0"/>
        <v>0.99928315412186386</v>
      </c>
      <c r="V5" s="155">
        <f t="shared" si="0"/>
        <v>0.99928315412186386</v>
      </c>
      <c r="W5" s="155">
        <f t="shared" si="0"/>
        <v>0.99928315412186386</v>
      </c>
      <c r="X5" s="155">
        <f t="shared" si="0"/>
        <v>0.99928315412186386</v>
      </c>
      <c r="Y5" s="155">
        <f t="shared" si="0"/>
        <v>0.99928315412186386</v>
      </c>
      <c r="Z5" s="155">
        <f t="shared" si="0"/>
        <v>0.99928315412186386</v>
      </c>
      <c r="AA5" s="155">
        <f t="shared" si="0"/>
        <v>0.99928315412186386</v>
      </c>
    </row>
    <row r="6" spans="1:27" ht="29.25" hidden="1" customHeight="1">
      <c r="A6" s="129" t="s">
        <v>101</v>
      </c>
      <c r="B6" s="154">
        <f>SUMIFS(WTG_BD!$T:$T,WTG_BD!$F:$F,"&gt;="&amp;Analytices!$B$2,WTG_BD!$F:$F,"&lt;="&amp;Analytices!$B$3,WTG_BD!$G:$G,$B$4)</f>
        <v>0.53333333333333144</v>
      </c>
      <c r="C6" s="154">
        <f>SUMIFS(WTG_BD!$T:$T,WTG_BD!$F:$F,"&gt;="&amp;Analytices!$B$2,WTG_BD!$F:$F,"&lt;="&amp;Analytices!$B$3,WTG_BD!$G:$G,$B$4)</f>
        <v>0.53333333333333144</v>
      </c>
      <c r="D6" s="154">
        <f>SUMIFS(WTG_BD!$T:$T,WTG_BD!$F:$F,"&gt;="&amp;Analytices!$B$2,WTG_BD!$F:$F,"&lt;="&amp;Analytices!$B$3,WTG_BD!$G:$G,$B$4)</f>
        <v>0.53333333333333144</v>
      </c>
      <c r="E6" s="154">
        <f>SUMIFS(WTG_BD!$T:$T,WTG_BD!$F:$F,"&gt;="&amp;Analytices!$B$2,WTG_BD!$F:$F,"&lt;="&amp;Analytices!$B$3,WTG_BD!$G:$G,$B$4)</f>
        <v>0.53333333333333144</v>
      </c>
      <c r="F6" s="154">
        <f>SUMIFS(WTG_BD!$T:$T,WTG_BD!$F:$F,"&gt;="&amp;Analytices!$B$2,WTG_BD!$F:$F,"&lt;="&amp;Analytices!$B$3,WTG_BD!$G:$G,$B$4)</f>
        <v>0.53333333333333144</v>
      </c>
      <c r="G6" s="154">
        <f>SUMIFS(WTG_BD!$T:$T,WTG_BD!$F:$F,"&gt;="&amp;Analytices!$B$2,WTG_BD!$F:$F,"&lt;="&amp;Analytices!$B$3,WTG_BD!$G:$G,$B$4)</f>
        <v>0.53333333333333144</v>
      </c>
      <c r="H6" s="154">
        <f>SUMIFS(WTG_BD!$T:$T,WTG_BD!$F:$F,"&gt;="&amp;Analytices!$B$2,WTG_BD!$F:$F,"&lt;="&amp;Analytices!$B$3,WTG_BD!$G:$G,$B$4)</f>
        <v>0.53333333333333144</v>
      </c>
      <c r="I6" s="154">
        <f>SUMIFS(WTG_BD!$T:$T,WTG_BD!$F:$F,"&gt;="&amp;Analytices!$B$2,WTG_BD!$F:$F,"&lt;="&amp;Analytices!$B$3,WTG_BD!$G:$G,$B$4)</f>
        <v>0.53333333333333144</v>
      </c>
      <c r="J6" s="154">
        <f>SUMIFS(WTG_BD!$T:$T,WTG_BD!$F:$F,"&gt;="&amp;Analytices!$B$2,WTG_BD!$F:$F,"&lt;="&amp;Analytices!$B$3,WTG_BD!$G:$G,$B$4)</f>
        <v>0.53333333333333144</v>
      </c>
      <c r="K6" s="154">
        <f>SUMIFS(WTG_BD!$T:$T,WTG_BD!$F:$F,"&gt;="&amp;Analytices!$B$2,WTG_BD!$F:$F,"&lt;="&amp;Analytices!$B$3,WTG_BD!$G:$G,$B$4)</f>
        <v>0.53333333333333144</v>
      </c>
      <c r="L6" s="154">
        <f>SUMIFS(WTG_BD!$T:$T,WTG_BD!$F:$F,"&gt;="&amp;Analytices!$B$2,WTG_BD!$F:$F,"&lt;="&amp;Analytices!$B$3,WTG_BD!$G:$G,$B$4)</f>
        <v>0.53333333333333144</v>
      </c>
      <c r="M6" s="154">
        <f>SUMIFS(WTG_BD!$T:$T,WTG_BD!$F:$F,"&gt;="&amp;Analytices!$B$2,WTG_BD!$F:$F,"&lt;="&amp;Analytices!$B$3,WTG_BD!$G:$G,$B$4)</f>
        <v>0.53333333333333144</v>
      </c>
      <c r="N6" s="154">
        <f>SUMIFS(WTG_BD!$T:$T,WTG_BD!$F:$F,"&gt;="&amp;Analytices!$B$2,WTG_BD!$F:$F,"&lt;="&amp;Analytices!$B$3,WTG_BD!$G:$G,$B$4)</f>
        <v>0.53333333333333144</v>
      </c>
      <c r="O6" s="154">
        <f>SUMIFS(WTG_BD!$T:$T,WTG_BD!$F:$F,"&gt;="&amp;Analytices!$B$2,WTG_BD!$F:$F,"&lt;="&amp;Analytices!$B$3,WTG_BD!$G:$G,$B$4)</f>
        <v>0.53333333333333144</v>
      </c>
      <c r="P6" s="154">
        <f>SUMIFS(WTG_BD!$T:$T,WTG_BD!$F:$F,"&gt;="&amp;Analytices!$B$2,WTG_BD!$F:$F,"&lt;="&amp;Analytices!$B$3,WTG_BD!$G:$G,$B$4)</f>
        <v>0.53333333333333144</v>
      </c>
      <c r="Q6" s="154">
        <f>SUMIFS(WTG_BD!$T:$T,WTG_BD!$F:$F,"&gt;="&amp;Analytices!$B$2,WTG_BD!$F:$F,"&lt;="&amp;Analytices!$B$3,WTG_BD!$G:$G,$B$4)</f>
        <v>0.53333333333333144</v>
      </c>
      <c r="R6" s="154">
        <f>SUMIFS(WTG_BD!$T:$T,WTG_BD!$F:$F,"&gt;="&amp;Analytices!$B$2,WTG_BD!$F:$F,"&lt;="&amp;Analytices!$B$3,WTG_BD!$G:$G,$B$4)</f>
        <v>0.53333333333333144</v>
      </c>
      <c r="S6" s="154">
        <f>SUMIFS(WTG_BD!$T:$T,WTG_BD!$F:$F,"&gt;="&amp;Analytices!$B$2,WTG_BD!$F:$F,"&lt;="&amp;Analytices!$B$3,WTG_BD!$G:$G,$B$4)</f>
        <v>0.53333333333333144</v>
      </c>
      <c r="T6" s="154">
        <f>SUMIFS(WTG_BD!$T:$T,WTG_BD!$F:$F,"&gt;="&amp;Analytices!$B$2,WTG_BD!$F:$F,"&lt;="&amp;Analytices!$B$3,WTG_BD!$G:$G,$B$4)</f>
        <v>0.53333333333333144</v>
      </c>
      <c r="U6" s="154">
        <f>SUMIFS(WTG_BD!$T:$T,WTG_BD!$F:$F,"&gt;="&amp;Analytices!$B$2,WTG_BD!$F:$F,"&lt;="&amp;Analytices!$B$3,WTG_BD!$G:$G,$B$4)</f>
        <v>0.53333333333333144</v>
      </c>
      <c r="V6" s="154">
        <f>SUMIFS(WTG_BD!$T:$T,WTG_BD!$F:$F,"&gt;="&amp;Analytices!$B$2,WTG_BD!$F:$F,"&lt;="&amp;Analytices!$B$3,WTG_BD!$G:$G,$B$4)</f>
        <v>0.53333333333333144</v>
      </c>
      <c r="W6" s="154">
        <f>SUMIFS(WTG_BD!$T:$T,WTG_BD!$F:$F,"&gt;="&amp;Analytices!$B$2,WTG_BD!$F:$F,"&lt;="&amp;Analytices!$B$3,WTG_BD!$G:$G,$B$4)</f>
        <v>0.53333333333333144</v>
      </c>
      <c r="X6" s="154">
        <f>SUMIFS(WTG_BD!$T:$T,WTG_BD!$F:$F,"&gt;="&amp;Analytices!$B$2,WTG_BD!$F:$F,"&lt;="&amp;Analytices!$B$3,WTG_BD!$G:$G,$B$4)</f>
        <v>0.53333333333333144</v>
      </c>
      <c r="Y6" s="154">
        <f>SUMIFS(WTG_BD!$T:$T,WTG_BD!$F:$F,"&gt;="&amp;Analytices!$B$2,WTG_BD!$F:$F,"&lt;="&amp;Analytices!$B$3,WTG_BD!$G:$G,$B$4)</f>
        <v>0.53333333333333144</v>
      </c>
      <c r="Z6" s="154">
        <f>SUMIFS(WTG_BD!$T:$T,WTG_BD!$F:$F,"&gt;="&amp;Analytices!$B$2,WTG_BD!$F:$F,"&lt;="&amp;Analytices!$B$3,WTG_BD!$G:$G,$B$4)</f>
        <v>0.53333333333333144</v>
      </c>
      <c r="AA6" s="154">
        <f>SUMIFS(WTG_BD!$T:$T,WTG_BD!$F:$F,"&gt;="&amp;Analytices!$B$2,WTG_BD!$F:$F,"&lt;="&amp;Analytices!$B$3,WTG_BD!$G:$G,$B$4)</f>
        <v>0.53333333333333144</v>
      </c>
    </row>
    <row r="7" spans="1:27" ht="29.25" customHeight="1">
      <c r="A7" s="127" t="s">
        <v>102</v>
      </c>
      <c r="B7" s="156">
        <f>($C$3-SUM(B8:B12))/$C$3</f>
        <v>0.99661738351254481</v>
      </c>
      <c r="C7" s="156">
        <f t="shared" ref="C7:AA7" si="1">($C$3-SUM(C8:C12))/$C$3</f>
        <v>0.99661738351254481</v>
      </c>
      <c r="D7" s="156">
        <f t="shared" si="1"/>
        <v>0.99661738351254481</v>
      </c>
      <c r="E7" s="156">
        <f t="shared" si="1"/>
        <v>0.998991935483871</v>
      </c>
      <c r="F7" s="156">
        <f t="shared" si="1"/>
        <v>0.99661738351254481</v>
      </c>
      <c r="G7" s="156">
        <f t="shared" si="1"/>
        <v>0.998991935483871</v>
      </c>
      <c r="H7" s="156">
        <f t="shared" si="1"/>
        <v>0.998991935483871</v>
      </c>
      <c r="I7" s="156">
        <f t="shared" si="1"/>
        <v>0.998991935483871</v>
      </c>
      <c r="J7" s="156">
        <f t="shared" si="1"/>
        <v>0.99661738351254481</v>
      </c>
      <c r="K7" s="156">
        <f t="shared" si="1"/>
        <v>0.99661738351254481</v>
      </c>
      <c r="L7" s="156">
        <f t="shared" si="1"/>
        <v>0.99661738351254481</v>
      </c>
      <c r="M7" s="156">
        <f t="shared" si="1"/>
        <v>0.99661738351254481</v>
      </c>
      <c r="N7" s="156">
        <f t="shared" si="1"/>
        <v>0.99661738351254481</v>
      </c>
      <c r="O7" s="156">
        <f t="shared" si="1"/>
        <v>0.99661738351254481</v>
      </c>
      <c r="P7" s="156">
        <f t="shared" si="1"/>
        <v>0.99661738351254481</v>
      </c>
      <c r="Q7" s="156">
        <f t="shared" si="1"/>
        <v>0.99661738351254481</v>
      </c>
      <c r="R7" s="156">
        <f t="shared" si="1"/>
        <v>0.998991935483871</v>
      </c>
      <c r="S7" s="156">
        <f t="shared" si="1"/>
        <v>0.998991935483871</v>
      </c>
      <c r="T7" s="156">
        <f t="shared" si="1"/>
        <v>0.998991935483871</v>
      </c>
      <c r="U7" s="156">
        <f t="shared" si="1"/>
        <v>0.99661738351254481</v>
      </c>
      <c r="V7" s="156">
        <f t="shared" si="1"/>
        <v>0.998991935483871</v>
      </c>
      <c r="W7" s="156">
        <f t="shared" si="1"/>
        <v>0.998991935483871</v>
      </c>
      <c r="X7" s="156">
        <f t="shared" si="1"/>
        <v>0.998991935483871</v>
      </c>
      <c r="Y7" s="156">
        <f t="shared" si="1"/>
        <v>0.998991935483871</v>
      </c>
      <c r="Z7" s="156">
        <f t="shared" si="1"/>
        <v>0.998991935483871</v>
      </c>
      <c r="AA7" s="156">
        <f t="shared" si="1"/>
        <v>0.998991935483871</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825780</v>
      </c>
      <c r="C15" s="153">
        <f>SUMIFS(Input_Raw!G:G,Input_Raw!$A:$A,"&gt;="&amp;Analytices!$B$2,Input_Raw!$A:$A,"&lt;="&amp;Analytices!$B$3)</f>
        <v>886796</v>
      </c>
      <c r="D15" s="153">
        <f>SUMIFS(Input_Raw!H:H,Input_Raw!$A:$A,"&gt;="&amp;Analytices!$B$2,Input_Raw!$A:$A,"&lt;="&amp;Analytices!$B$3)</f>
        <v>833452</v>
      </c>
      <c r="E15" s="153">
        <f>SUMIFS(Input_Raw!I:I,Input_Raw!$A:$A,"&gt;="&amp;Analytices!$B$2,Input_Raw!$A:$A,"&lt;="&amp;Analytices!$B$3)</f>
        <v>849324</v>
      </c>
      <c r="F15" s="153">
        <f>SUMIFS(Input_Raw!J:J,Input_Raw!$A:$A,"&gt;="&amp;Analytices!$B$2,Input_Raw!$A:$A,"&lt;="&amp;Analytices!$B$3)</f>
        <v>875586</v>
      </c>
      <c r="G15" s="153">
        <f>SUMIFS(Input_Raw!K:K,Input_Raw!$A:$A,"&gt;="&amp;Analytices!$B$2,Input_Raw!$A:$A,"&lt;="&amp;Analytices!$B$3)</f>
        <v>912781</v>
      </c>
      <c r="H15" s="153">
        <f>SUMIFS(Input_Raw!L:L,Input_Raw!$A:$A,"&gt;="&amp;Analytices!$B$2,Input_Raw!$A:$A,"&lt;="&amp;Analytices!$B$3)</f>
        <v>838117</v>
      </c>
      <c r="I15" s="153">
        <f>SUMIFS(Input_Raw!M:M,Input_Raw!$A:$A,"&gt;="&amp;Analytices!$B$2,Input_Raw!$A:$A,"&lt;="&amp;Analytices!$B$3)</f>
        <v>863929</v>
      </c>
      <c r="J15" s="153">
        <f>SUMIFS(Input_Raw!N:N,Input_Raw!$A:$A,"&gt;="&amp;Analytices!$B$2,Input_Raw!$A:$A,"&lt;="&amp;Analytices!$B$3)</f>
        <v>838879</v>
      </c>
      <c r="K15" s="153">
        <f>SUMIFS(Input_Raw!O:O,Input_Raw!$A:$A,"&gt;="&amp;Analytices!$B$2,Input_Raw!$A:$A,"&lt;="&amp;Analytices!$B$3)</f>
        <v>859296</v>
      </c>
      <c r="L15" s="153">
        <f>SUMIFS(Input_Raw!P:P,Input_Raw!$A:$A,"&gt;="&amp;Analytices!$B$2,Input_Raw!$A:$A,"&lt;="&amp;Analytices!$B$3)</f>
        <v>821640</v>
      </c>
      <c r="M15" s="153">
        <f>SUMIFS(Input_Raw!Q:Q,Input_Raw!$A:$A,"&gt;="&amp;Analytices!$B$2,Input_Raw!$A:$A,"&lt;="&amp;Analytices!$B$3)</f>
        <v>643140</v>
      </c>
      <c r="N15" s="153">
        <f>SUMIFS(Input_Raw!R:R,Input_Raw!$A:$A,"&gt;="&amp;Analytices!$B$2,Input_Raw!$A:$A,"&lt;="&amp;Analytices!$B$3)</f>
        <v>834272</v>
      </c>
      <c r="O15" s="153">
        <f>SUMIFS(Input_Raw!S:S,Input_Raw!$A:$A,"&gt;="&amp;Analytices!$B$2,Input_Raw!$A:$A,"&lt;="&amp;Analytices!$B$3)</f>
        <v>770964</v>
      </c>
      <c r="P15" s="153">
        <f>SUMIFS(Input_Raw!T:T,Input_Raw!$A:$A,"&gt;="&amp;Analytices!$B$2,Input_Raw!$A:$A,"&lt;="&amp;Analytices!$B$3)</f>
        <v>826661</v>
      </c>
      <c r="Q15" s="153">
        <f>SUMIFS(Input_Raw!U:U,Input_Raw!$A:$A,"&gt;="&amp;Analytices!$B$2,Input_Raw!$A:$A,"&lt;="&amp;Analytices!$B$3)</f>
        <v>876227</v>
      </c>
      <c r="R15" s="153">
        <f>SUMIFS(Input_Raw!V:V,Input_Raw!$A:$A,"&gt;="&amp;Analytices!$B$2,Input_Raw!$A:$A,"&lt;="&amp;Analytices!$B$3)</f>
        <v>961627</v>
      </c>
      <c r="S15" s="153">
        <f>SUMIFS(Input_Raw!W:W,Input_Raw!$A:$A,"&gt;="&amp;Analytices!$B$2,Input_Raw!$A:$A,"&lt;="&amp;Analytices!$B$3)</f>
        <v>903560</v>
      </c>
      <c r="T15" s="153">
        <f>SUMIFS(Input_Raw!X:X,Input_Raw!$A:$A,"&gt;="&amp;Analytices!$B$2,Input_Raw!$A:$A,"&lt;="&amp;Analytices!$B$3)</f>
        <v>946614</v>
      </c>
      <c r="U15" s="153">
        <f>SUMIFS(Input_Raw!Y:Y,Input_Raw!$A:$A,"&gt;="&amp;Analytices!$B$2,Input_Raw!$A:$A,"&lt;="&amp;Analytices!$B$3)</f>
        <v>705447</v>
      </c>
      <c r="V15" s="153">
        <f>SUMIFS(Input_Raw!Z:Z,Input_Raw!$A:$A,"&gt;="&amp;Analytices!$B$2,Input_Raw!$A:$A,"&lt;="&amp;Analytices!$B$3)</f>
        <v>918772</v>
      </c>
      <c r="W15" s="153">
        <f>SUMIFS(Input_Raw!AA:AA,Input_Raw!$A:$A,"&gt;="&amp;Analytices!$B$2,Input_Raw!$A:$A,"&lt;="&amp;Analytices!$B$3)</f>
        <v>882125</v>
      </c>
      <c r="X15" s="153">
        <f>SUMIFS(Input_Raw!AB:AB,Input_Raw!$A:$A,"&gt;="&amp;Analytices!$B$2,Input_Raw!$A:$A,"&lt;="&amp;Analytices!$B$3)</f>
        <v>857225</v>
      </c>
      <c r="Y15" s="153">
        <f>SUMIFS(Input_Raw!AC:AC,Input_Raw!$A:$A,"&gt;="&amp;Analytices!$B$2,Input_Raw!$A:$A,"&lt;="&amp;Analytices!$B$3)</f>
        <v>912532</v>
      </c>
      <c r="Z15" s="153">
        <f>SUMIFS(Input_Raw!AD:AD,Input_Raw!$A:$A,"&gt;="&amp;Analytices!$B$2,Input_Raw!$A:$A,"&lt;="&amp;Analytices!$B$3)</f>
        <v>926861</v>
      </c>
      <c r="AA15" s="153">
        <f>SUMIFS(Input_Raw!AE:AE,Input_Raw!$A:$A,"&gt;="&amp;Analytices!$B$2,Input_Raw!$A:$A,"&lt;="&amp;Analytices!$B$3)</f>
        <v>860238</v>
      </c>
    </row>
    <row r="16" spans="1:27" ht="29.25" customHeight="1">
      <c r="A16" s="127" t="s">
        <v>111</v>
      </c>
      <c r="B16" s="155">
        <f>IFERROR(($C$3-(SUM(B8:B12,B14,B6)))/$C$3,1)</f>
        <v>0.99590053763440867</v>
      </c>
      <c r="C16" s="155">
        <f t="shared" ref="C16:AA16" si="4">IFERROR(($C$3-(SUM(C8:C12,C14,C6)))/$C$3,1)</f>
        <v>0.99590053763440867</v>
      </c>
      <c r="D16" s="155">
        <f t="shared" si="4"/>
        <v>0.99590053763440867</v>
      </c>
      <c r="E16" s="155">
        <f t="shared" si="4"/>
        <v>0.99827508960573486</v>
      </c>
      <c r="F16" s="155">
        <f t="shared" si="4"/>
        <v>0.99590053763440867</v>
      </c>
      <c r="G16" s="155">
        <f t="shared" si="4"/>
        <v>0.99827508960573486</v>
      </c>
      <c r="H16" s="155">
        <f t="shared" si="4"/>
        <v>0.99827508960573486</v>
      </c>
      <c r="I16" s="155">
        <f t="shared" si="4"/>
        <v>0.99827508960573486</v>
      </c>
      <c r="J16" s="155">
        <f t="shared" si="4"/>
        <v>0.99590053763440867</v>
      </c>
      <c r="K16" s="155">
        <f t="shared" si="4"/>
        <v>0.99590053763440867</v>
      </c>
      <c r="L16" s="155">
        <f t="shared" si="4"/>
        <v>0.99590053763440867</v>
      </c>
      <c r="M16" s="155">
        <f t="shared" si="4"/>
        <v>0.99590053763440867</v>
      </c>
      <c r="N16" s="155">
        <f t="shared" si="4"/>
        <v>0.99590053763440867</v>
      </c>
      <c r="O16" s="155">
        <f t="shared" si="4"/>
        <v>0.99590053763440867</v>
      </c>
      <c r="P16" s="155">
        <f t="shared" si="4"/>
        <v>0.99590053763440867</v>
      </c>
      <c r="Q16" s="155">
        <f t="shared" si="4"/>
        <v>0.99590053763440867</v>
      </c>
      <c r="R16" s="155">
        <f t="shared" si="4"/>
        <v>0.99827508960573486</v>
      </c>
      <c r="S16" s="155">
        <f t="shared" si="4"/>
        <v>0.99827508960573486</v>
      </c>
      <c r="T16" s="155">
        <f t="shared" si="4"/>
        <v>0.99827508960573486</v>
      </c>
      <c r="U16" s="155">
        <f t="shared" si="4"/>
        <v>0.99590053763440867</v>
      </c>
      <c r="V16" s="155">
        <f t="shared" si="4"/>
        <v>0.99827508960573486</v>
      </c>
      <c r="W16" s="155">
        <f t="shared" si="4"/>
        <v>0.99827508960573486</v>
      </c>
      <c r="X16" s="155">
        <f t="shared" si="4"/>
        <v>0.99827508960573486</v>
      </c>
      <c r="Y16" s="155">
        <f t="shared" si="4"/>
        <v>0.99827508960573486</v>
      </c>
      <c r="Z16" s="155">
        <f t="shared" si="4"/>
        <v>0.99827508960573486</v>
      </c>
      <c r="AA16" s="155">
        <f t="shared" si="4"/>
        <v>0.99827508960573486</v>
      </c>
    </row>
    <row r="17" spans="1:27" ht="29.25" hidden="1" customHeight="1">
      <c r="A17" s="129" t="s">
        <v>112</v>
      </c>
      <c r="B17" s="154">
        <f>SUMIFS(WTG_BD!$T:$T,WTG_BD!$F:$F,"&gt;="&amp;Analytices!$B$2,WTG_BD!$F:$F,"&lt;="&amp;Analytices!$B$3,WTG_BD!$G:$G,B4)</f>
        <v>0.53333333333333144</v>
      </c>
      <c r="C17" s="154">
        <f>SUMIFS(WTG_BD!$T:$T,WTG_BD!$F:$F,"&gt;="&amp;Analytices!$B$2,WTG_BD!$F:$F,"&lt;="&amp;Analytices!$B$3,WTG_BD!$G:$G,C4)</f>
        <v>14.299999999999997</v>
      </c>
      <c r="D17" s="154">
        <f>SUMIFS(WTG_BD!$T:$T,WTG_BD!$F:$F,"&gt;="&amp;Analytices!$B$2,WTG_BD!$F:$F,"&lt;="&amp;Analytices!$B$3,WTG_BD!$G:$G,D4)</f>
        <v>15.233333333333331</v>
      </c>
      <c r="E17" s="154">
        <f>SUMIFS(WTG_BD!$T:$T,WTG_BD!$F:$F,"&gt;="&amp;Analytices!$B$2,WTG_BD!$F:$F,"&lt;="&amp;Analytices!$B$3,WTG_BD!$G:$G,E4)</f>
        <v>7.2333333333333325</v>
      </c>
      <c r="F17" s="154">
        <f>SUMIFS(WTG_BD!$T:$T,WTG_BD!$F:$F,"&gt;="&amp;Analytices!$B$2,WTG_BD!$F:$F,"&lt;="&amp;Analytices!$B$3,WTG_BD!$G:$G,F4)</f>
        <v>3.9333333333333287</v>
      </c>
      <c r="G17" s="154">
        <f>SUMIFS(WTG_BD!$T:$T,WTG_BD!$F:$F,"&gt;="&amp;Analytices!$B$2,WTG_BD!$F:$F,"&lt;="&amp;Analytices!$B$3,WTG_BD!$G:$G,G4)</f>
        <v>10.683333333333332</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2.9000000000000017</v>
      </c>
      <c r="K17" s="154">
        <f>SUMIFS(WTG_BD!$T:$T,WTG_BD!$F:$F,"&gt;="&amp;Analytices!$B$2,WTG_BD!$F:$F,"&lt;="&amp;Analytices!$B$3,WTG_BD!$G:$G,K4)</f>
        <v>0.99999999999999845</v>
      </c>
      <c r="L17" s="154">
        <f>SUMIFS(WTG_BD!$T:$T,WTG_BD!$F:$F,"&gt;="&amp;Analytices!$B$2,WTG_BD!$F:$F,"&lt;="&amp;Analytices!$B$3,WTG_BD!$G:$G,L4)</f>
        <v>10.616666666666671</v>
      </c>
      <c r="M17" s="154">
        <f>SUMIFS(WTG_BD!$T:$T,WTG_BD!$F:$F,"&gt;="&amp;Analytices!$B$2,WTG_BD!$F:$F,"&lt;="&amp;Analytices!$B$3,WTG_BD!$G:$G,M4)</f>
        <v>170.18194444444444</v>
      </c>
      <c r="N17" s="154">
        <f>SUMIFS(WTG_BD!$T:$T,WTG_BD!$F:$F,"&gt;="&amp;Analytices!$B$2,WTG_BD!$F:$F,"&lt;="&amp;Analytices!$B$3,WTG_BD!$G:$G,N4)</f>
        <v>3.4166666666666679</v>
      </c>
      <c r="O17" s="154">
        <f>SUMIFS(WTG_BD!$T:$T,WTG_BD!$F:$F,"&gt;="&amp;Analytices!$B$2,WTG_BD!$F:$F,"&lt;="&amp;Analytices!$B$3,WTG_BD!$G:$G,O4)</f>
        <v>15.616666666666667</v>
      </c>
      <c r="P17" s="154">
        <f>SUMIFS(WTG_BD!$T:$T,WTG_BD!$F:$F,"&gt;="&amp;Analytices!$B$2,WTG_BD!$F:$F,"&lt;="&amp;Analytices!$B$3,WTG_BD!$G:$G,P4)</f>
        <v>10.383055555555558</v>
      </c>
      <c r="Q17" s="154">
        <f>SUMIFS(WTG_BD!$T:$T,WTG_BD!$F:$F,"&gt;="&amp;Analytices!$B$2,WTG_BD!$F:$F,"&lt;="&amp;Analytices!$B$3,WTG_BD!$G:$G,Q4)</f>
        <v>3.5166666666666688</v>
      </c>
      <c r="R17" s="154">
        <f>SUMIFS(WTG_BD!$T:$T,WTG_BD!$F:$F,"&gt;="&amp;Analytices!$B$2,WTG_BD!$F:$F,"&lt;="&amp;Analytices!$B$3,WTG_BD!$G:$G,R4)</f>
        <v>4.3166666666666682</v>
      </c>
      <c r="S17" s="154">
        <f>SUMIFS(WTG_BD!$T:$T,WTG_BD!$F:$F,"&gt;="&amp;Analytices!$B$2,WTG_BD!$F:$F,"&lt;="&amp;Analytices!$B$3,WTG_BD!$G:$G,S4)</f>
        <v>22.116666666666656</v>
      </c>
      <c r="T17" s="154">
        <f>SUMIFS(WTG_BD!$T:$T,WTG_BD!$F:$F,"&gt;="&amp;Analytices!$B$2,WTG_BD!$F:$F,"&lt;="&amp;Analytices!$B$3,WTG_BD!$G:$G,T4)</f>
        <v>2.1999999999999975</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6.7333333333333378</v>
      </c>
      <c r="X17" s="154">
        <f>SUMIFS(WTG_BD!$T:$T,WTG_BD!$F:$F,"&gt;="&amp;Analytices!$B$2,WTG_BD!$F:$F,"&lt;="&amp;Analytices!$B$3,WTG_BD!$G:$G,X4)</f>
        <v>4.9166666666666679</v>
      </c>
      <c r="Y17" s="154">
        <f>SUMIFS(WTG_BD!$T:$T,WTG_BD!$F:$F,"&gt;="&amp;Analytices!$B$2,WTG_BD!$F:$F,"&lt;="&amp;Analytices!$B$3,WTG_BD!$G:$G,Y4)</f>
        <v>0.71666666666666812</v>
      </c>
      <c r="Z17" s="154">
        <f>SUMIFS(WTG_BD!$T:$T,WTG_BD!$F:$F,"&gt;="&amp;Analytices!$B$2,WTG_BD!$F:$F,"&lt;="&amp;Analytices!$B$3,WTG_BD!$G:$G,Z4)</f>
        <v>0.88333333333333353</v>
      </c>
      <c r="AA17" s="154">
        <f>SUMIFS(WTG_BD!$T:$T,WTG_BD!$F:$F,"&gt;="&amp;Analytices!$B$2,WTG_BD!$F:$F,"&lt;="&amp;Analytices!$B$3,WTG_BD!$G:$G,AA4)</f>
        <v>4.7666666666666684</v>
      </c>
    </row>
    <row r="18" spans="1:27" ht="29.25" hidden="1" customHeight="1">
      <c r="A18" s="129" t="s">
        <v>113</v>
      </c>
      <c r="B18" s="154">
        <f>COUNTIFS(WTG_BD!$F:$F,"&gt;="&amp;Analytices!$B$2,WTG_BD!$F:$F,"&lt;="&amp;Analytices!$B$3,WTG_BD!$G:$G,B4)</f>
        <v>9</v>
      </c>
      <c r="C18" s="154">
        <f>COUNTIFS(WTG_BD!$F:$F,"&gt;="&amp;Analytices!$B$2,WTG_BD!$F:$F,"&lt;="&amp;Analytices!$B$3,WTG_BD!$G:$G,C4)</f>
        <v>14</v>
      </c>
      <c r="D18" s="154">
        <f>COUNTIFS(WTG_BD!$F:$F,"&gt;="&amp;Analytices!$B$2,WTG_BD!$F:$F,"&lt;="&amp;Analytices!$B$3,WTG_BD!$G:$G,D4)</f>
        <v>5</v>
      </c>
      <c r="E18" s="154">
        <f>COUNTIFS(WTG_BD!$F:$F,"&gt;="&amp;Analytices!$B$2,WTG_BD!$F:$F,"&lt;="&amp;Analytices!$B$3,WTG_BD!$G:$G,E4)</f>
        <v>22</v>
      </c>
      <c r="F18" s="154">
        <f>COUNTIFS(WTG_BD!$F:$F,"&gt;="&amp;Analytices!$B$2,WTG_BD!$F:$F,"&lt;="&amp;Analytices!$B$3,WTG_BD!$G:$G,F4)</f>
        <v>18</v>
      </c>
      <c r="G18" s="154">
        <f>COUNTIFS(WTG_BD!$F:$F,"&gt;="&amp;Analytices!$B$2,WTG_BD!$F:$F,"&lt;="&amp;Analytices!$B$3,WTG_BD!$G:$G,G4)</f>
        <v>8</v>
      </c>
      <c r="H18" s="154">
        <f>COUNTIFS(WTG_BD!$F:$F,"&gt;="&amp;Analytices!$B$2,WTG_BD!$F:$F,"&lt;="&amp;Analytices!$B$3,WTG_BD!$G:$G,H4)</f>
        <v>6</v>
      </c>
      <c r="I18" s="154">
        <f>COUNTIFS(WTG_BD!$F:$F,"&gt;="&amp;Analytices!$B$2,WTG_BD!$F:$F,"&lt;="&amp;Analytices!$B$3,WTG_BD!$G:$G,I4)</f>
        <v>3</v>
      </c>
      <c r="J18" s="154">
        <f>COUNTIFS(WTG_BD!$F:$F,"&gt;="&amp;Analytices!$B$2,WTG_BD!$F:$F,"&lt;="&amp;Analytices!$B$3,WTG_BD!$G:$G,J4)</f>
        <v>5</v>
      </c>
      <c r="K18" s="154">
        <f>COUNTIFS(WTG_BD!$F:$F,"&gt;="&amp;Analytices!$B$2,WTG_BD!$F:$F,"&lt;="&amp;Analytices!$B$3,WTG_BD!$G:$G,K4)</f>
        <v>7</v>
      </c>
      <c r="L18" s="154">
        <f>COUNTIFS(WTG_BD!$F:$F,"&gt;="&amp;Analytices!$B$2,WTG_BD!$F:$F,"&lt;="&amp;Analytices!$B$3,WTG_BD!$G:$G,L4)</f>
        <v>5</v>
      </c>
      <c r="M18" s="154">
        <f>COUNTIFS(WTG_BD!$F:$F,"&gt;="&amp;Analytices!$B$2,WTG_BD!$F:$F,"&lt;="&amp;Analytices!$B$3,WTG_BD!$G:$G,M4)</f>
        <v>50</v>
      </c>
      <c r="N18" s="154">
        <f>COUNTIFS(WTG_BD!$F:$F,"&gt;="&amp;Analytices!$B$2,WTG_BD!$F:$F,"&lt;="&amp;Analytices!$B$3,WTG_BD!$G:$G,N4)</f>
        <v>5</v>
      </c>
      <c r="O18" s="154">
        <f>COUNTIFS(WTG_BD!$F:$F,"&gt;="&amp;Analytices!$B$2,WTG_BD!$F:$F,"&lt;="&amp;Analytices!$B$3,WTG_BD!$G:$G,O4)</f>
        <v>13</v>
      </c>
      <c r="P18" s="154">
        <f>COUNTIFS(WTG_BD!$F:$F,"&gt;="&amp;Analytices!$B$2,WTG_BD!$F:$F,"&lt;="&amp;Analytices!$B$3,WTG_BD!$G:$G,P4)</f>
        <v>15</v>
      </c>
      <c r="Q18" s="154">
        <f>COUNTIFS(WTG_BD!$F:$F,"&gt;="&amp;Analytices!$B$2,WTG_BD!$F:$F,"&lt;="&amp;Analytices!$B$3,WTG_BD!$G:$G,Q4)</f>
        <v>5</v>
      </c>
      <c r="R18" s="154">
        <f>COUNTIFS(WTG_BD!$F:$F,"&gt;="&amp;Analytices!$B$2,WTG_BD!$F:$F,"&lt;="&amp;Analytices!$B$3,WTG_BD!$G:$G,R4)</f>
        <v>5</v>
      </c>
      <c r="S18" s="154">
        <f>COUNTIFS(WTG_BD!$F:$F,"&gt;="&amp;Analytices!$B$2,WTG_BD!$F:$F,"&lt;="&amp;Analytices!$B$3,WTG_BD!$G:$G,S4)</f>
        <v>8</v>
      </c>
      <c r="T18" s="154">
        <f>COUNTIFS(WTG_BD!$F:$F,"&gt;="&amp;Analytices!$B$2,WTG_BD!$F:$F,"&lt;="&amp;Analytices!$B$3,WTG_BD!$G:$G,T4)</f>
        <v>4</v>
      </c>
      <c r="U18" s="154">
        <f>COUNTIFS(WTG_BD!$F:$F,"&gt;="&amp;Analytices!$B$2,WTG_BD!$F:$F,"&lt;="&amp;Analytices!$B$3,WTG_BD!$G:$G,U4)</f>
        <v>12</v>
      </c>
      <c r="V18" s="154">
        <f>COUNTIFS(WTG_BD!$F:$F,"&gt;="&amp;Analytices!$B$2,WTG_BD!$F:$F,"&lt;="&amp;Analytices!$B$3,WTG_BD!$G:$G,V4)</f>
        <v>4</v>
      </c>
      <c r="W18" s="154">
        <f>COUNTIFS(WTG_BD!$F:$F,"&gt;="&amp;Analytices!$B$2,WTG_BD!$F:$F,"&lt;="&amp;Analytices!$B$3,WTG_BD!$G:$G,W4)</f>
        <v>9</v>
      </c>
      <c r="X18" s="154">
        <f>COUNTIFS(WTG_BD!$F:$F,"&gt;="&amp;Analytices!$B$2,WTG_BD!$F:$F,"&lt;="&amp;Analytices!$B$3,WTG_BD!$G:$G,X4)</f>
        <v>8</v>
      </c>
      <c r="Y18" s="154">
        <f>COUNTIFS(WTG_BD!$F:$F,"&gt;="&amp;Analytices!$B$2,WTG_BD!$F:$F,"&lt;="&amp;Analytices!$B$3,WTG_BD!$G:$G,Y4)</f>
        <v>3</v>
      </c>
      <c r="Z18" s="154">
        <f>COUNTIFS(WTG_BD!$F:$F,"&gt;="&amp;Analytices!$B$2,WTG_BD!$F:$F,"&lt;="&amp;Analytices!$B$3,WTG_BD!$G:$G,Z4)</f>
        <v>2</v>
      </c>
      <c r="AA18" s="154">
        <f>COUNTIFS(WTG_BD!$F:$F,"&gt;="&amp;Analytices!$B$2,WTG_BD!$F:$F,"&lt;="&amp;Analytices!$B$3,WTG_BD!$G:$G,AA4)</f>
        <v>5</v>
      </c>
    </row>
    <row r="19" spans="1:27" ht="29.25" customHeight="1">
      <c r="A19" s="127" t="s">
        <v>114</v>
      </c>
      <c r="B19" s="159">
        <f>IFERROR(B17/B18,0)</f>
        <v>5.9259259259259046E-2</v>
      </c>
      <c r="C19" s="159">
        <f t="shared" ref="C19:AA19" si="5">IFERROR(C17/C18,0)</f>
        <v>1.0214285714285711</v>
      </c>
      <c r="D19" s="159">
        <f t="shared" si="5"/>
        <v>3.046666666666666</v>
      </c>
      <c r="E19" s="159">
        <f t="shared" si="5"/>
        <v>0.32878787878787874</v>
      </c>
      <c r="F19" s="159">
        <f t="shared" si="5"/>
        <v>0.21851851851851825</v>
      </c>
      <c r="G19" s="159">
        <f t="shared" si="5"/>
        <v>1.3354166666666665</v>
      </c>
      <c r="H19" s="159">
        <f t="shared" si="5"/>
        <v>0.9916666666666677</v>
      </c>
      <c r="I19" s="159">
        <f t="shared" si="5"/>
        <v>1.0722222222222224</v>
      </c>
      <c r="J19" s="159">
        <f t="shared" si="5"/>
        <v>0.58000000000000029</v>
      </c>
      <c r="K19" s="159">
        <f t="shared" si="5"/>
        <v>0.14285714285714263</v>
      </c>
      <c r="L19" s="159">
        <f t="shared" si="5"/>
        <v>2.123333333333334</v>
      </c>
      <c r="M19" s="159">
        <f t="shared" si="5"/>
        <v>3.4036388888888887</v>
      </c>
      <c r="N19" s="159">
        <f t="shared" si="5"/>
        <v>0.68333333333333357</v>
      </c>
      <c r="O19" s="159">
        <f t="shared" si="5"/>
        <v>1.2012820512820512</v>
      </c>
      <c r="P19" s="159">
        <f t="shared" si="5"/>
        <v>0.69220370370370388</v>
      </c>
      <c r="Q19" s="159">
        <f t="shared" si="5"/>
        <v>0.70333333333333381</v>
      </c>
      <c r="R19" s="159">
        <f t="shared" si="5"/>
        <v>0.86333333333333362</v>
      </c>
      <c r="S19" s="159">
        <f t="shared" si="5"/>
        <v>2.7645833333333321</v>
      </c>
      <c r="T19" s="159">
        <f t="shared" si="5"/>
        <v>0.54999999999999938</v>
      </c>
      <c r="U19" s="159">
        <f t="shared" si="5"/>
        <v>10.119421296296297</v>
      </c>
      <c r="V19" s="159">
        <f t="shared" si="5"/>
        <v>0.11666666666666692</v>
      </c>
      <c r="W19" s="159">
        <f t="shared" si="5"/>
        <v>0.74814814814814867</v>
      </c>
      <c r="X19" s="159">
        <f t="shared" si="5"/>
        <v>0.61458333333333348</v>
      </c>
      <c r="Y19" s="159">
        <f t="shared" si="5"/>
        <v>0.23888888888888937</v>
      </c>
      <c r="Z19" s="159">
        <f t="shared" si="5"/>
        <v>0.44166666666666676</v>
      </c>
      <c r="AA19" s="159">
        <f t="shared" si="5"/>
        <v>0.9533333333333337</v>
      </c>
    </row>
    <row r="20" spans="1:27" ht="29.25" customHeight="1">
      <c r="A20" s="127" t="s">
        <v>115</v>
      </c>
      <c r="B20" s="159">
        <f>IFERROR(($C$3-B17)/B18,$C$3)</f>
        <v>82.607407407407408</v>
      </c>
      <c r="C20" s="159">
        <f t="shared" ref="C20:AA20" si="6">IFERROR(($C$3-C17)/C18,$C$3)</f>
        <v>52.121428571428574</v>
      </c>
      <c r="D20" s="159">
        <f t="shared" si="6"/>
        <v>145.75333333333333</v>
      </c>
      <c r="E20" s="159">
        <f t="shared" si="6"/>
        <v>33.489393939393942</v>
      </c>
      <c r="F20" s="159">
        <f t="shared" si="6"/>
        <v>41.114814814814821</v>
      </c>
      <c r="G20" s="159">
        <f t="shared" si="6"/>
        <v>91.66458333333334</v>
      </c>
      <c r="H20" s="159">
        <f t="shared" si="6"/>
        <v>123.00833333333333</v>
      </c>
      <c r="I20" s="159">
        <f t="shared" si="6"/>
        <v>246.92777777777778</v>
      </c>
      <c r="J20" s="159">
        <f t="shared" si="6"/>
        <v>148.22</v>
      </c>
      <c r="K20" s="159">
        <f t="shared" si="6"/>
        <v>106.14285714285714</v>
      </c>
      <c r="L20" s="159">
        <f t="shared" si="6"/>
        <v>146.67666666666668</v>
      </c>
      <c r="M20" s="159">
        <f t="shared" si="6"/>
        <v>11.476361111111112</v>
      </c>
      <c r="N20" s="159">
        <f t="shared" si="6"/>
        <v>148.11666666666667</v>
      </c>
      <c r="O20" s="159">
        <f t="shared" si="6"/>
        <v>56.029487179487177</v>
      </c>
      <c r="P20" s="159">
        <f t="shared" si="6"/>
        <v>48.907796296296297</v>
      </c>
      <c r="Q20" s="159">
        <f t="shared" si="6"/>
        <v>148.09666666666666</v>
      </c>
      <c r="R20" s="159">
        <f t="shared" si="6"/>
        <v>147.93666666666667</v>
      </c>
      <c r="S20" s="159">
        <f t="shared" si="6"/>
        <v>90.235416666666666</v>
      </c>
      <c r="T20" s="159">
        <f t="shared" si="6"/>
        <v>185.45</v>
      </c>
      <c r="U20" s="159">
        <f t="shared" si="6"/>
        <v>51.880578703703698</v>
      </c>
      <c r="V20" s="159">
        <f t="shared" si="6"/>
        <v>185.88333333333333</v>
      </c>
      <c r="W20" s="159">
        <f t="shared" si="6"/>
        <v>81.918518518518511</v>
      </c>
      <c r="X20" s="159">
        <f t="shared" si="6"/>
        <v>92.385416666666671</v>
      </c>
      <c r="Y20" s="159">
        <f t="shared" si="6"/>
        <v>247.76111111111109</v>
      </c>
      <c r="Z20" s="159">
        <f t="shared" si="6"/>
        <v>371.55833333333334</v>
      </c>
      <c r="AA20" s="159">
        <f t="shared" si="6"/>
        <v>147.84666666666666</v>
      </c>
    </row>
    <row r="21" spans="1:27" ht="29.25" customHeight="1">
      <c r="A21" s="127" t="s">
        <v>116</v>
      </c>
      <c r="B21" s="159">
        <f>ROUND(AVERAGEIFS(Input_Raw!AF:AF,Input_Raw!$A:$A,"&gt;="&amp;Analytices!$B$2,Input_Raw!$A:$A,"&lt;="&amp;Analytices!$B$3),1)</f>
        <v>6.8</v>
      </c>
      <c r="C21" s="159">
        <f>ROUND(AVERAGEIFS(Input_Raw!AG:AG,Input_Raw!$A:$A,"&gt;="&amp;Analytices!$B$2,Input_Raw!$A:$A,"&lt;="&amp;Analytices!$B$3),1)</f>
        <v>6.8</v>
      </c>
      <c r="D21" s="159">
        <f>ROUND(AVERAGEIFS(Input_Raw!AH:AH,Input_Raw!$A:$A,"&gt;="&amp;Analytices!$B$2,Input_Raw!$A:$A,"&lt;="&amp;Analytices!$B$3),1)</f>
        <v>6.7</v>
      </c>
      <c r="E21" s="159">
        <f>ROUND(AVERAGEIFS(Input_Raw!AI:AI,Input_Raw!$A:$A,"&gt;="&amp;Analytices!$B$2,Input_Raw!$A:$A,"&lt;="&amp;Analytices!$B$3),1)</f>
        <v>6.8</v>
      </c>
      <c r="F21" s="159">
        <f>ROUND(AVERAGEIFS(Input_Raw!AJ:AJ,Input_Raw!$A:$A,"&gt;="&amp;Analytices!$B$2,Input_Raw!$A:$A,"&lt;="&amp;Analytices!$B$3),1)</f>
        <v>6.9</v>
      </c>
      <c r="G21" s="159">
        <f>ROUND(AVERAGEIFS(Input_Raw!AK:AK,Input_Raw!$A:$A,"&gt;="&amp;Analytices!$B$2,Input_Raw!$A:$A,"&lt;="&amp;Analytices!$B$3),1)</f>
        <v>7.3</v>
      </c>
      <c r="H21" s="159">
        <f>ROUND(AVERAGEIFS(Input_Raw!AL:AL,Input_Raw!$A:$A,"&gt;="&amp;Analytices!$B$2,Input_Raw!$A:$A,"&lt;="&amp;Analytices!$B$3),1)</f>
        <v>6.7</v>
      </c>
      <c r="I21" s="159">
        <f>ROUND(AVERAGEIFS(Input_Raw!AM:AM,Input_Raw!$A:$A,"&gt;="&amp;Analytices!$B$2,Input_Raw!$A:$A,"&lt;="&amp;Analytices!$B$3),1)</f>
        <v>6.7</v>
      </c>
      <c r="J21" s="159">
        <f>ROUND(AVERAGEIFS(Input_Raw!AN:AN,Input_Raw!$A:$A,"&gt;="&amp;Analytices!$B$2,Input_Raw!$A:$A,"&lt;="&amp;Analytices!$B$3),1)</f>
        <v>6.8</v>
      </c>
      <c r="K21" s="159">
        <f>ROUND(AVERAGEIFS(Input_Raw!AO:AO,Input_Raw!$A:$A,"&gt;="&amp;Analytices!$B$2,Input_Raw!$A:$A,"&lt;="&amp;Analytices!$B$3),1)</f>
        <v>6.8</v>
      </c>
      <c r="L21" s="159">
        <f>ROUND(AVERAGEIFS(Input_Raw!AP:AP,Input_Raw!$A:$A,"&gt;="&amp;Analytices!$B$2,Input_Raw!$A:$A,"&lt;="&amp;Analytices!$B$3),1)</f>
        <v>6.8</v>
      </c>
      <c r="M21" s="159">
        <f>ROUND(AVERAGEIFS(Input_Raw!AQ:AQ,Input_Raw!$A:$A,"&gt;="&amp;Analytices!$B$2,Input_Raw!$A:$A,"&lt;="&amp;Analytices!$B$3),1)</f>
        <v>7.6</v>
      </c>
      <c r="N21" s="159">
        <f>ROUND(AVERAGEIFS(Input_Raw!AR:AR,Input_Raw!$A:$A,"&gt;="&amp;Analytices!$B$2,Input_Raw!$A:$A,"&lt;="&amp;Analytices!$B$3),1)</f>
        <v>6.7</v>
      </c>
      <c r="O21" s="159">
        <f>ROUND(AVERAGEIFS(Input_Raw!AS:AS,Input_Raw!$A:$A,"&gt;="&amp;Analytices!$B$2,Input_Raw!$A:$A,"&lt;="&amp;Analytices!$B$3),1)</f>
        <v>6.7</v>
      </c>
      <c r="P21" s="159">
        <f>ROUND(AVERAGEIFS(Input_Raw!AT:AT,Input_Raw!$A:$A,"&gt;="&amp;Analytices!$B$2,Input_Raw!$A:$A,"&lt;="&amp;Analytices!$B$3),1)</f>
        <v>6.7</v>
      </c>
      <c r="Q21" s="159">
        <f>ROUND(AVERAGEIFS(Input_Raw!AU:AU,Input_Raw!$A:$A,"&gt;="&amp;Analytices!$B$2,Input_Raw!$A:$A,"&lt;="&amp;Analytices!$B$3),1)</f>
        <v>6.8</v>
      </c>
      <c r="R21" s="159">
        <f>ROUND(AVERAGEIFS(Input_Raw!AV:AV,Input_Raw!$A:$A,"&gt;="&amp;Analytices!$B$2,Input_Raw!$A:$A,"&lt;="&amp;Analytices!$B$3),1)</f>
        <v>7.2</v>
      </c>
      <c r="S21" s="159">
        <f>ROUND(AVERAGEIFS(Input_Raw!AW:AW,Input_Raw!$A:$A,"&gt;="&amp;Analytices!$B$2,Input_Raw!$A:$A,"&lt;="&amp;Analytices!$B$3),1)</f>
        <v>7</v>
      </c>
      <c r="T21" s="159">
        <f>ROUND(AVERAGEIFS(Input_Raw!AX:AX,Input_Raw!$A:$A,"&gt;="&amp;Analytices!$B$2,Input_Raw!$A:$A,"&lt;="&amp;Analytices!$B$3),1)</f>
        <v>7</v>
      </c>
      <c r="U21" s="159">
        <f>ROUND(AVERAGEIFS(Input_Raw!AY:AY,Input_Raw!$A:$A,"&gt;="&amp;Analytices!$B$2,Input_Raw!$A:$A,"&lt;="&amp;Analytices!$B$3),1)</f>
        <v>6.7</v>
      </c>
      <c r="V21" s="159">
        <f>ROUND(AVERAGEIFS(Input_Raw!AZ:AZ,Input_Raw!$A:$A,"&gt;="&amp;Analytices!$B$2,Input_Raw!$A:$A,"&lt;="&amp;Analytices!$B$3),1)</f>
        <v>7</v>
      </c>
      <c r="W21" s="159">
        <f>ROUND(AVERAGEIFS(Input_Raw!BA:BA,Input_Raw!$A:$A,"&gt;="&amp;Analytices!$B$2,Input_Raw!$A:$A,"&lt;="&amp;Analytices!$B$3),1)</f>
        <v>7</v>
      </c>
      <c r="X21" s="159">
        <f>ROUND(AVERAGEIFS(Input_Raw!BB:BB,Input_Raw!$A:$A,"&gt;="&amp;Analytices!$B$2,Input_Raw!$A:$A,"&lt;="&amp;Analytices!$B$3),1)</f>
        <v>6.8</v>
      </c>
      <c r="Y21" s="159">
        <f>ROUND(AVERAGEIFS(Input_Raw!BC:BC,Input_Raw!$A:$A,"&gt;="&amp;Analytices!$B$2,Input_Raw!$A:$A,"&lt;="&amp;Analytices!$B$3),1)</f>
        <v>6.9</v>
      </c>
      <c r="Z21" s="159">
        <f>ROUND(AVERAGEIFS(Input_Raw!BD:BD,Input_Raw!$A:$A,"&gt;="&amp;Analytices!$B$2,Input_Raw!$A:$A,"&lt;="&amp;Analytices!$B$3),1)</f>
        <v>6.9</v>
      </c>
      <c r="AA21" s="159">
        <f>ROUND(AVERAGEIFS(Input_Raw!BE:BE,Input_Raw!$A:$A,"&gt;="&amp;Analytices!$B$2,Input_Raw!$A:$A,"&lt;="&amp;Analytices!$B$3),1)</f>
        <v>6.8</v>
      </c>
    </row>
    <row r="22" spans="1:27" ht="29.25" customHeight="1">
      <c r="A22" s="84"/>
    </row>
    <row r="23" spans="1:27" ht="29.25" customHeight="1">
      <c r="A23" s="644" t="s">
        <v>117</v>
      </c>
      <c r="B23" s="644"/>
      <c r="C23" s="644"/>
      <c r="D23" s="644"/>
      <c r="E23" s="644"/>
      <c r="F23" s="644"/>
      <c r="G23" s="644"/>
    </row>
    <row r="24" spans="1:27" ht="29.25" customHeight="1">
      <c r="A24" s="85">
        <v>45017</v>
      </c>
    </row>
    <row r="25" spans="1:27" ht="29.25" customHeight="1">
      <c r="D25" s="642" t="s">
        <v>118</v>
      </c>
      <c r="E25" s="642"/>
      <c r="F25" s="642" t="s">
        <v>119</v>
      </c>
      <c r="G25" s="642"/>
    </row>
    <row r="26" spans="1:27" ht="29.25" customHeight="1">
      <c r="D26" s="642">
        <f ca="1">F26</f>
        <v>20448</v>
      </c>
      <c r="E26" s="642"/>
      <c r="F26" s="643">
        <f ca="1">((TODAY()-1)-(A24))*24</f>
        <v>20448</v>
      </c>
      <c r="G26" s="643"/>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86" zoomScaleNormal="70" workbookViewId="0">
      <pane xSplit="4" ySplit="2" topLeftCell="F476" activePane="bottomRight" state="frozen"/>
      <selection pane="topRight" activeCell="E1" sqref="E1"/>
      <selection pane="bottomLeft" activeCell="A3" sqref="A3"/>
      <selection pane="bottomRight" activeCell="F490" sqref="F490"/>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E486" s="167">
        <v>155.76</v>
      </c>
      <c r="F486" s="167">
        <v>155.76</v>
      </c>
      <c r="G486" s="167">
        <v>155.76</v>
      </c>
      <c r="H486" s="167">
        <v>155.76</v>
      </c>
      <c r="I486" s="167">
        <v>155.76</v>
      </c>
      <c r="J486" s="167">
        <v>155.76</v>
      </c>
      <c r="K486" s="167">
        <v>155.76</v>
      </c>
      <c r="L486" s="167">
        <v>155.76</v>
      </c>
      <c r="M486" s="167">
        <v>155.76</v>
      </c>
      <c r="N486" s="167">
        <v>155.76</v>
      </c>
      <c r="O486" s="167">
        <v>155.76</v>
      </c>
      <c r="P486" s="167">
        <v>155.76</v>
      </c>
      <c r="Q486" s="167">
        <v>155.76</v>
      </c>
      <c r="R486" s="167">
        <v>155.76</v>
      </c>
      <c r="S486" s="167">
        <v>155.76</v>
      </c>
      <c r="T486" s="167">
        <v>155.76</v>
      </c>
      <c r="U486" s="167">
        <v>155.76</v>
      </c>
      <c r="V486" s="167">
        <v>155.76</v>
      </c>
      <c r="W486" s="167">
        <v>155.76</v>
      </c>
      <c r="X486" s="167">
        <v>155.76</v>
      </c>
      <c r="Y486" s="167">
        <v>155.76</v>
      </c>
      <c r="Z486" s="167">
        <v>155.76</v>
      </c>
      <c r="AA486" s="167">
        <v>155.76</v>
      </c>
      <c r="AB486" s="167">
        <v>155.76</v>
      </c>
      <c r="AC486" s="167">
        <v>155.76</v>
      </c>
      <c r="AD486" s="167">
        <v>155.76</v>
      </c>
      <c r="AE486" s="167">
        <f t="shared" si="23"/>
        <v>4049.760000000002</v>
      </c>
    </row>
    <row r="487" spans="1:31">
      <c r="A487" s="197">
        <f t="shared" si="24"/>
        <v>45867</v>
      </c>
      <c r="B487" s="167">
        <f>YEAR(Table7[[#This Row],[Date]])+IF(MONTH(Table7[[#This Row],[Date]])&gt;=4,1,0)</f>
        <v>2026</v>
      </c>
      <c r="C487" s="167">
        <f>YEAR(Table7[[#This Row],[Date]])</f>
        <v>2025</v>
      </c>
      <c r="D487" s="168">
        <f t="shared" si="22"/>
        <v>45839</v>
      </c>
      <c r="E487" s="167">
        <v>155.76</v>
      </c>
      <c r="F487" s="167">
        <v>155.76</v>
      </c>
      <c r="G487" s="167">
        <v>155.76</v>
      </c>
      <c r="H487" s="167">
        <v>155.76</v>
      </c>
      <c r="I487" s="167">
        <v>155.76</v>
      </c>
      <c r="J487" s="167">
        <v>155.76</v>
      </c>
      <c r="K487" s="167">
        <v>155.76</v>
      </c>
      <c r="L487" s="167">
        <v>155.76</v>
      </c>
      <c r="M487" s="167">
        <v>155.76</v>
      </c>
      <c r="N487" s="167">
        <v>155.76</v>
      </c>
      <c r="O487" s="167">
        <v>155.76</v>
      </c>
      <c r="P487" s="167">
        <v>155.76</v>
      </c>
      <c r="Q487" s="167">
        <v>155.76</v>
      </c>
      <c r="R487" s="167">
        <v>155.76</v>
      </c>
      <c r="S487" s="167">
        <v>155.76</v>
      </c>
      <c r="T487" s="167">
        <v>155.76</v>
      </c>
      <c r="U487" s="167">
        <v>155.76</v>
      </c>
      <c r="V487" s="167">
        <v>155.76</v>
      </c>
      <c r="W487" s="167">
        <v>155.76</v>
      </c>
      <c r="X487" s="167">
        <v>155.76</v>
      </c>
      <c r="Y487" s="167">
        <v>155.76</v>
      </c>
      <c r="Z487" s="167">
        <v>155.76</v>
      </c>
      <c r="AA487" s="167">
        <v>155.76</v>
      </c>
      <c r="AB487" s="167">
        <v>155.76</v>
      </c>
      <c r="AC487" s="167">
        <v>155.76</v>
      </c>
      <c r="AD487" s="167">
        <v>155.76</v>
      </c>
      <c r="AE487" s="167">
        <f t="shared" si="23"/>
        <v>4049.760000000002</v>
      </c>
    </row>
    <row r="488" spans="1:31">
      <c r="A488" s="197">
        <f t="shared" si="24"/>
        <v>45868</v>
      </c>
      <c r="B488" s="167">
        <f>YEAR(Table7[[#This Row],[Date]])+IF(MONTH(Table7[[#This Row],[Date]])&gt;=4,1,0)</f>
        <v>2026</v>
      </c>
      <c r="C488" s="167">
        <f>YEAR(Table7[[#This Row],[Date]])</f>
        <v>2025</v>
      </c>
      <c r="D488" s="168">
        <f t="shared" si="22"/>
        <v>45839</v>
      </c>
      <c r="E488" s="167">
        <v>121.15</v>
      </c>
      <c r="F488" s="167">
        <v>121.15</v>
      </c>
      <c r="G488" s="167">
        <v>121.15</v>
      </c>
      <c r="H488" s="167">
        <v>121.15</v>
      </c>
      <c r="I488" s="167">
        <v>121.15</v>
      </c>
      <c r="J488" s="167">
        <v>121.15</v>
      </c>
      <c r="K488" s="167">
        <v>121.15</v>
      </c>
      <c r="L488" s="167">
        <v>121.15</v>
      </c>
      <c r="M488" s="167">
        <v>121.15</v>
      </c>
      <c r="N488" s="167">
        <v>121.15</v>
      </c>
      <c r="O488" s="167">
        <v>121.15</v>
      </c>
      <c r="P488" s="167">
        <v>121.15</v>
      </c>
      <c r="Q488" s="167">
        <v>121.15</v>
      </c>
      <c r="R488" s="167">
        <v>121.15</v>
      </c>
      <c r="S488" s="167">
        <v>121.15</v>
      </c>
      <c r="T488" s="167">
        <v>121.15</v>
      </c>
      <c r="U488" s="167">
        <v>121.15</v>
      </c>
      <c r="V488" s="167">
        <v>121.15</v>
      </c>
      <c r="W488" s="167">
        <v>121.15</v>
      </c>
      <c r="X488" s="167">
        <v>121.15</v>
      </c>
      <c r="Y488" s="167">
        <v>121.15</v>
      </c>
      <c r="Z488" s="167">
        <v>121.15</v>
      </c>
      <c r="AA488" s="167">
        <v>121.15</v>
      </c>
      <c r="AB488" s="167">
        <v>121.15</v>
      </c>
      <c r="AC488" s="167">
        <v>121.15</v>
      </c>
      <c r="AD488" s="167">
        <v>121.15</v>
      </c>
      <c r="AE488" s="167">
        <f t="shared" si="23"/>
        <v>3149.9000000000015</v>
      </c>
    </row>
    <row r="489" spans="1:31">
      <c r="A489" s="197">
        <f t="shared" si="24"/>
        <v>45869</v>
      </c>
      <c r="B489" s="167">
        <f>YEAR(Table7[[#This Row],[Date]])+IF(MONTH(Table7[[#This Row],[Date]])&gt;=4,1,0)</f>
        <v>2026</v>
      </c>
      <c r="C489" s="167">
        <f>YEAR(Table7[[#This Row],[Date]])</f>
        <v>2025</v>
      </c>
      <c r="D489" s="168">
        <f t="shared" si="22"/>
        <v>45839</v>
      </c>
      <c r="E489" s="167">
        <v>86.53</v>
      </c>
      <c r="F489" s="167">
        <v>86.53</v>
      </c>
      <c r="G489" s="167">
        <v>86.53</v>
      </c>
      <c r="H489" s="167">
        <v>86.53</v>
      </c>
      <c r="I489" s="167">
        <v>86.53</v>
      </c>
      <c r="J489" s="167">
        <v>86.53</v>
      </c>
      <c r="K489" s="167">
        <v>86.53</v>
      </c>
      <c r="L489" s="167">
        <v>86.53</v>
      </c>
      <c r="M489" s="167">
        <v>86.53</v>
      </c>
      <c r="N489" s="167">
        <v>86.53</v>
      </c>
      <c r="O489" s="167">
        <v>86.53</v>
      </c>
      <c r="P489" s="167">
        <v>86.53</v>
      </c>
      <c r="Q489" s="167">
        <v>86.53</v>
      </c>
      <c r="R489" s="167">
        <v>86.53</v>
      </c>
      <c r="S489" s="167">
        <v>86.53</v>
      </c>
      <c r="T489" s="167">
        <v>86.53</v>
      </c>
      <c r="U489" s="167">
        <v>86.53</v>
      </c>
      <c r="V489" s="167">
        <v>86.53</v>
      </c>
      <c r="W489" s="167">
        <v>86.53</v>
      </c>
      <c r="X489" s="167">
        <v>86.53</v>
      </c>
      <c r="Y489" s="167">
        <v>86.53</v>
      </c>
      <c r="Z489" s="167">
        <v>86.53</v>
      </c>
      <c r="AA489" s="167">
        <v>86.53</v>
      </c>
      <c r="AB489" s="167">
        <v>86.53</v>
      </c>
      <c r="AC489" s="167">
        <v>86.53</v>
      </c>
      <c r="AD489" s="167">
        <v>86.53</v>
      </c>
      <c r="AE489" s="167">
        <f t="shared" si="23"/>
        <v>2249.7800000000002</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9"/>
  <sheetViews>
    <sheetView showGridLines="0" zoomScale="86" zoomScaleNormal="80" workbookViewId="0">
      <pane xSplit="1" ySplit="4" topLeftCell="AZ119" activePane="bottomRight" state="frozen"/>
      <selection pane="topRight" activeCell="B5" sqref="B5"/>
      <selection pane="bottomLeft" activeCell="B5" sqref="B5"/>
      <selection pane="bottomRight" activeCell="BR129" sqref="BR129"/>
    </sheetView>
  </sheetViews>
  <sheetFormatPr defaultColWidth="8.453125" defaultRowHeight="14.5"/>
  <cols>
    <col min="1" max="1" width="11.453125" style="1" bestFit="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29"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c r="A121" s="240">
        <f t="shared" si="14"/>
        <v>45861</v>
      </c>
      <c r="B121" s="11">
        <f>YEAR(Input_Raw[[#This Row],[Date]])+IF(MONTH(Input_Raw[[#This Row],[Date]])&gt;=4,1,0)</f>
        <v>2026</v>
      </c>
      <c r="C121" s="11">
        <f>YEAR(Input_Raw[[#This Row],[Date]])</f>
        <v>2025</v>
      </c>
      <c r="D121" s="12">
        <f t="shared" ref="D121:D126" si="24">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c r="A122" s="240">
        <f t="shared" si="14"/>
        <v>45862</v>
      </c>
      <c r="B122" s="11">
        <f>YEAR(Input_Raw[[#This Row],[Date]])+IF(MONTH(Input_Raw[[#This Row],[Date]])&gt;=4,1,0)</f>
        <v>2026</v>
      </c>
      <c r="C122" s="11">
        <f>YEAR(Input_Raw[[#This Row],[Date]])</f>
        <v>2025</v>
      </c>
      <c r="D122" s="12">
        <f t="shared" si="24"/>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c r="A123" s="240">
        <f t="shared" si="14"/>
        <v>45863</v>
      </c>
      <c r="B123" s="11">
        <f>YEAR(Input_Raw[[#This Row],[Date]])+IF(MONTH(Input_Raw[[#This Row],[Date]])&gt;=4,1,0)</f>
        <v>2026</v>
      </c>
      <c r="C123" s="11">
        <f>YEAR(Input_Raw[[#This Row],[Date]])</f>
        <v>2025</v>
      </c>
      <c r="D123" s="12">
        <f t="shared" si="24"/>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row r="124" spans="1:70">
      <c r="A124" s="240">
        <f t="shared" si="14"/>
        <v>45864</v>
      </c>
      <c r="B124" s="11">
        <f>YEAR(Input_Raw[[#This Row],[Date]])+IF(MONTH(Input_Raw[[#This Row],[Date]])&gt;=4,1,0)</f>
        <v>2026</v>
      </c>
      <c r="C124" s="11">
        <f>YEAR(Input_Raw[[#This Row],[Date]])</f>
        <v>2025</v>
      </c>
      <c r="D124" s="12">
        <f t="shared" si="24"/>
        <v>45839</v>
      </c>
      <c r="E124" s="11">
        <f>DAY(EOMONTH(Input_Raw[[#This Row],[Date]],0))</f>
        <v>31</v>
      </c>
      <c r="F124" s="625">
        <v>34740</v>
      </c>
      <c r="G124" s="625">
        <v>37342</v>
      </c>
      <c r="H124" s="625">
        <v>33715</v>
      </c>
      <c r="I124" s="625">
        <v>36212</v>
      </c>
      <c r="J124" s="625">
        <v>36536</v>
      </c>
      <c r="K124" s="625">
        <v>38122</v>
      </c>
      <c r="L124" s="625">
        <v>35002</v>
      </c>
      <c r="M124" s="625">
        <v>33863</v>
      </c>
      <c r="N124" s="625">
        <v>34096</v>
      </c>
      <c r="O124" s="625">
        <v>35048</v>
      </c>
      <c r="P124" s="625">
        <v>33052</v>
      </c>
      <c r="Q124" s="625">
        <v>34281</v>
      </c>
      <c r="R124" s="625">
        <v>30916</v>
      </c>
      <c r="S124" s="625">
        <v>33848</v>
      </c>
      <c r="T124" s="625">
        <v>33507</v>
      </c>
      <c r="U124" s="625">
        <v>38276</v>
      </c>
      <c r="V124" s="625">
        <v>40711</v>
      </c>
      <c r="W124" s="625">
        <v>38632</v>
      </c>
      <c r="X124" s="625">
        <v>39646</v>
      </c>
      <c r="Y124" s="625">
        <v>36095</v>
      </c>
      <c r="Z124" s="625">
        <v>37456</v>
      </c>
      <c r="AA124" s="625">
        <v>41308</v>
      </c>
      <c r="AB124" s="625">
        <v>35602</v>
      </c>
      <c r="AC124" s="626">
        <v>37082</v>
      </c>
      <c r="AD124" s="626">
        <v>38688</v>
      </c>
      <c r="AE124" s="626">
        <v>36554</v>
      </c>
      <c r="AF124" s="627">
        <v>7.6837499837080623</v>
      </c>
      <c r="AG124" s="627">
        <v>7.7964583469761726</v>
      </c>
      <c r="AH124" s="627">
        <v>7.3800694511996356</v>
      </c>
      <c r="AI124" s="627">
        <v>7.7702083090941096</v>
      </c>
      <c r="AJ124" s="627">
        <v>7.7631944451067163</v>
      </c>
      <c r="AK124" s="627">
        <v>8.0706250038411849</v>
      </c>
      <c r="AL124" s="627">
        <v>7.5538888739214984</v>
      </c>
      <c r="AM124" s="627">
        <v>7.355694446298811</v>
      </c>
      <c r="AN124" s="627">
        <v>7.5711111227671291</v>
      </c>
      <c r="AO124" s="627">
        <v>7.5083333485656301</v>
      </c>
      <c r="AP124" s="627">
        <v>7.428749991787801</v>
      </c>
      <c r="AQ124" s="627">
        <v>8.1158333586321909</v>
      </c>
      <c r="AR124" s="627">
        <v>7.2258333166440325</v>
      </c>
      <c r="AS124" s="627">
        <v>7.4438889159096613</v>
      </c>
      <c r="AT124" s="627">
        <v>7.390000008874468</v>
      </c>
      <c r="AU124" s="627">
        <v>7.815972199042637</v>
      </c>
      <c r="AV124" s="627">
        <v>8.1771527992354436</v>
      </c>
      <c r="AW124" s="627">
        <v>7.8654166791174118</v>
      </c>
      <c r="AX124" s="627">
        <v>7.9317360950840827</v>
      </c>
      <c r="AY124" s="627">
        <v>7.7179166641500245</v>
      </c>
      <c r="AZ124" s="627">
        <v>7.7715972297721407</v>
      </c>
      <c r="BA124" s="627">
        <v>8.2628472016917325</v>
      </c>
      <c r="BB124" s="627">
        <v>7.5906249715222236</v>
      </c>
      <c r="BC124" s="628">
        <v>7.6694444616635629</v>
      </c>
      <c r="BD124" s="628">
        <v>7.7497916751437703</v>
      </c>
      <c r="BE124" s="628">
        <v>7.6952777504920942</v>
      </c>
      <c r="BF124" s="629">
        <f>SUM(Input_Raw[[#This Row],[O2_01]:[O2_26]])</f>
        <v>940330</v>
      </c>
      <c r="BG124" s="630">
        <f>IFERROR(AVERAGE(Input_Raw[[#This Row],[WS_O2_01]:[WS_O2_26]]),"")</f>
        <v>7.7040544865477774</v>
      </c>
      <c r="BH124" s="631"/>
      <c r="BI124" s="631"/>
      <c r="BJ124" s="626">
        <v>913500</v>
      </c>
      <c r="BK124" s="626">
        <v>0</v>
      </c>
      <c r="BL124" s="632">
        <f>Input_Raw[[#This Row],[66 kV_Wind_F1_Export_reading]]-Input_Raw[[#This Row],[66 kV_Wind_F1_Import_reading]]</f>
        <v>913500</v>
      </c>
      <c r="BM124" s="633">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634"/>
      <c r="BQ124" s="635">
        <v>973.81</v>
      </c>
      <c r="BR124" s="636"/>
    </row>
    <row r="125" spans="1:70">
      <c r="A125" s="240">
        <f t="shared" si="14"/>
        <v>45865</v>
      </c>
      <c r="B125" s="11">
        <f>YEAR(Input_Raw[[#This Row],[Date]])+IF(MONTH(Input_Raw[[#This Row],[Date]])&gt;=4,1,0)</f>
        <v>2026</v>
      </c>
      <c r="C125" s="11">
        <f>YEAR(Input_Raw[[#This Row],[Date]])</f>
        <v>2025</v>
      </c>
      <c r="D125" s="12">
        <f t="shared" si="24"/>
        <v>45839</v>
      </c>
      <c r="E125" s="11">
        <f>DAY(EOMONTH(Input_Raw[[#This Row],[Date]],0))</f>
        <v>31</v>
      </c>
      <c r="F125" s="625">
        <v>51776</v>
      </c>
      <c r="G125" s="625">
        <v>54247</v>
      </c>
      <c r="H125" s="625">
        <v>51320</v>
      </c>
      <c r="I125" s="625">
        <v>52198</v>
      </c>
      <c r="J125" s="625">
        <v>54230</v>
      </c>
      <c r="K125" s="625">
        <v>58430</v>
      </c>
      <c r="L125" s="625">
        <v>54503</v>
      </c>
      <c r="M125" s="625">
        <v>54132</v>
      </c>
      <c r="N125" s="625">
        <v>50919</v>
      </c>
      <c r="O125" s="625">
        <v>56152</v>
      </c>
      <c r="P125" s="625">
        <v>52508</v>
      </c>
      <c r="Q125" s="625">
        <v>54303</v>
      </c>
      <c r="R125" s="625">
        <v>51403</v>
      </c>
      <c r="S125" s="625">
        <v>54637</v>
      </c>
      <c r="T125" s="625">
        <v>55016</v>
      </c>
      <c r="U125" s="625">
        <v>58166</v>
      </c>
      <c r="V125" s="625">
        <v>62065</v>
      </c>
      <c r="W125" s="625">
        <v>60106</v>
      </c>
      <c r="X125" s="625">
        <v>59042</v>
      </c>
      <c r="Y125" s="625">
        <v>53962</v>
      </c>
      <c r="Z125" s="625">
        <v>59141</v>
      </c>
      <c r="AA125" s="625">
        <v>58230</v>
      </c>
      <c r="AB125" s="625">
        <v>55196</v>
      </c>
      <c r="AC125" s="626">
        <v>58521</v>
      </c>
      <c r="AD125" s="626">
        <v>53461</v>
      </c>
      <c r="AE125" s="626">
        <v>55064</v>
      </c>
      <c r="AF125" s="627">
        <v>9.1123610933621659</v>
      </c>
      <c r="AG125" s="627">
        <v>9.382291691170785</v>
      </c>
      <c r="AH125" s="627">
        <v>8.9147916734218544</v>
      </c>
      <c r="AI125" s="627">
        <v>9.18222219083043</v>
      </c>
      <c r="AJ125" s="627">
        <v>9.2869444655047495</v>
      </c>
      <c r="AK125" s="627">
        <v>9.6911805338329664</v>
      </c>
      <c r="AL125" s="627">
        <v>9.3654860754807689</v>
      </c>
      <c r="AM125" s="627">
        <v>9.1397916542159159</v>
      </c>
      <c r="AN125" s="627">
        <v>9.0585416952768902</v>
      </c>
      <c r="AO125" s="627">
        <v>9.3524305820464999</v>
      </c>
      <c r="AP125" s="627">
        <v>9.1838888790872293</v>
      </c>
      <c r="AQ125" s="627">
        <v>9.7679860856797784</v>
      </c>
      <c r="AR125" s="627">
        <v>9.0629166828261454</v>
      </c>
      <c r="AS125" s="627">
        <v>9.2554860909779784</v>
      </c>
      <c r="AT125" s="627">
        <v>9.3219444718625724</v>
      </c>
      <c r="AU125" s="627">
        <v>9.6038194563653629</v>
      </c>
      <c r="AV125" s="627">
        <v>9.9996527764532122</v>
      </c>
      <c r="AW125" s="627">
        <v>9.6597917046811723</v>
      </c>
      <c r="AX125" s="627">
        <v>9.7087499830457791</v>
      </c>
      <c r="AY125" s="627">
        <v>9.3347916901111514</v>
      </c>
      <c r="AZ125" s="627">
        <v>9.6961111459466984</v>
      </c>
      <c r="BA125" s="627">
        <v>9.8406249814563189</v>
      </c>
      <c r="BB125" s="627">
        <v>9.3465971979829892</v>
      </c>
      <c r="BC125" s="628">
        <v>9.5800694525241763</v>
      </c>
      <c r="BD125" s="628">
        <v>9.1317361328336855</v>
      </c>
      <c r="BE125" s="628">
        <v>9.3604860636922975</v>
      </c>
      <c r="BF125" s="629">
        <f>SUM(Input_Raw[[#This Row],[O2_01]:[O2_26]])</f>
        <v>1438728</v>
      </c>
      <c r="BG125" s="630">
        <f>IFERROR(AVERAGE(Input_Raw[[#This Row],[WS_O2_01]:[WS_O2_26]]),"")</f>
        <v>9.3977190173334453</v>
      </c>
      <c r="BH125" s="631"/>
      <c r="BI125" s="631"/>
      <c r="BJ125" s="626">
        <v>1390050</v>
      </c>
      <c r="BK125" s="626">
        <v>0</v>
      </c>
      <c r="BL125" s="632">
        <f>Input_Raw[[#This Row],[66 kV_Wind_F1_Export_reading]]-Input_Raw[[#This Row],[66 kV_Wind_F1_Import_reading]]</f>
        <v>1390050</v>
      </c>
      <c r="BM125" s="633">
        <f>Input_Raw[[#This Row],[WTG Total Gneration (KWh)]]-Input_Raw[[#This Row],[66 kV_Wind_F1_Export_reading]]</f>
        <v>48678</v>
      </c>
      <c r="BN125" s="111">
        <f>(Input_Raw[[#This Row],[WTG Total Gneration (KWh)]]-Input_Raw[[#This Row],[66 kV_Wind_F1_Export_reading]])/Input_Raw[[#This Row],[WTG Total Gneration (KWh)]]</f>
        <v>3.3834053413848902E-2</v>
      </c>
      <c r="BO125" s="89">
        <v>70.2</v>
      </c>
      <c r="BP125" s="634"/>
      <c r="BQ125" s="635">
        <v>1462.68</v>
      </c>
      <c r="BR125" s="636"/>
    </row>
    <row r="126" spans="1:70">
      <c r="A126" s="240">
        <f t="shared" si="14"/>
        <v>45866</v>
      </c>
      <c r="B126" s="11">
        <f>YEAR(Input_Raw[[#This Row],[Date]])+IF(MONTH(Input_Raw[[#This Row],[Date]])&gt;=4,1,0)</f>
        <v>2026</v>
      </c>
      <c r="C126" s="11">
        <f>YEAR(Input_Raw[[#This Row],[Date]])</f>
        <v>2025</v>
      </c>
      <c r="D126" s="12">
        <f t="shared" si="24"/>
        <v>45839</v>
      </c>
      <c r="E126" s="11">
        <f>DAY(EOMONTH(Input_Raw[[#This Row],[Date]],0))</f>
        <v>31</v>
      </c>
      <c r="F126" s="137">
        <v>54475</v>
      </c>
      <c r="G126" s="137">
        <v>56216</v>
      </c>
      <c r="H126" s="137">
        <v>56185</v>
      </c>
      <c r="I126" s="137">
        <v>52534</v>
      </c>
      <c r="J126" s="137">
        <v>55586</v>
      </c>
      <c r="K126" s="137">
        <v>56927</v>
      </c>
      <c r="L126" s="137">
        <v>54893</v>
      </c>
      <c r="M126" s="137">
        <v>56145</v>
      </c>
      <c r="N126" s="137">
        <v>55830</v>
      </c>
      <c r="O126" s="137">
        <v>57692</v>
      </c>
      <c r="P126" s="137">
        <v>54281</v>
      </c>
      <c r="Q126" s="137">
        <v>56900</v>
      </c>
      <c r="R126" s="137">
        <v>55625</v>
      </c>
      <c r="S126" s="137">
        <v>31340</v>
      </c>
      <c r="T126" s="137">
        <v>54433</v>
      </c>
      <c r="U126" s="137">
        <v>58371</v>
      </c>
      <c r="V126" s="137">
        <v>59836</v>
      </c>
      <c r="W126" s="137">
        <v>59503</v>
      </c>
      <c r="X126" s="137">
        <v>58441</v>
      </c>
      <c r="Y126" s="137">
        <v>56107</v>
      </c>
      <c r="Z126" s="137">
        <v>59374</v>
      </c>
      <c r="AA126" s="137">
        <v>53794</v>
      </c>
      <c r="AB126" s="137">
        <v>57764</v>
      </c>
      <c r="AC126" s="13">
        <v>58972</v>
      </c>
      <c r="AD126" s="13">
        <v>57796</v>
      </c>
      <c r="AE126" s="13">
        <v>56533</v>
      </c>
      <c r="AF126" s="138">
        <v>9.4521527919504251</v>
      </c>
      <c r="AG126" s="138">
        <v>9.6731944613986389</v>
      </c>
      <c r="AH126" s="138">
        <v>9.4896527826785899</v>
      </c>
      <c r="AI126" s="138">
        <v>9.4020833240614863</v>
      </c>
      <c r="AJ126" s="138">
        <v>9.6348611149522831</v>
      </c>
      <c r="AK126" s="138">
        <v>9.7290277712874786</v>
      </c>
      <c r="AL126" s="138">
        <v>9.55881945292154</v>
      </c>
      <c r="AM126" s="138">
        <v>9.5034027927451543</v>
      </c>
      <c r="AN126" s="138">
        <v>9.6407639318042211</v>
      </c>
      <c r="AO126" s="138">
        <v>9.6420138941870661</v>
      </c>
      <c r="AP126" s="138">
        <v>9.5388194488154383</v>
      </c>
      <c r="AQ126" s="138">
        <v>10.187847243414968</v>
      </c>
      <c r="AR126" s="138">
        <v>9.5271527833408651</v>
      </c>
      <c r="AS126" s="138">
        <v>9.3701388802793204</v>
      </c>
      <c r="AT126" s="138">
        <v>9.5490277442667093</v>
      </c>
      <c r="AU126" s="138">
        <v>9.8552777734067529</v>
      </c>
      <c r="AV126" s="138">
        <v>10.012916631168771</v>
      </c>
      <c r="AW126" s="138">
        <v>9.745833347241069</v>
      </c>
      <c r="AX126" s="138">
        <v>10.035347206725003</v>
      </c>
      <c r="AY126" s="138">
        <v>9.6752083169089289</v>
      </c>
      <c r="AZ126" s="138">
        <v>9.8654166526264433</v>
      </c>
      <c r="BA126" s="138">
        <v>9.6022917131582748</v>
      </c>
      <c r="BB126" s="138">
        <v>9.7536111209127441</v>
      </c>
      <c r="BC126" s="14">
        <v>9.867986099587533</v>
      </c>
      <c r="BD126" s="14">
        <v>9.5679861307144023</v>
      </c>
      <c r="BE126" s="14">
        <v>9.7000694473584321</v>
      </c>
      <c r="BF126" s="139">
        <f>SUM(Input_Raw[[#This Row],[O2_01]:[O2_26]])</f>
        <v>1445553</v>
      </c>
      <c r="BG126" s="140">
        <f>IFERROR(AVERAGE(Input_Raw[[#This Row],[WS_O2_01]:[WS_O2_26]]),"")</f>
        <v>9.676188571458173</v>
      </c>
      <c r="BH126" s="141"/>
      <c r="BI126" s="141"/>
      <c r="BJ126" s="13">
        <v>1394550</v>
      </c>
      <c r="BK126" s="13">
        <v>0</v>
      </c>
      <c r="BL126" s="15">
        <f>Input_Raw[[#This Row],[66 kV_Wind_F1_Export_reading]]-Input_Raw[[#This Row],[66 kV_Wind_F1_Import_reading]]</f>
        <v>1394550</v>
      </c>
      <c r="BM126" s="142">
        <f>Input_Raw[[#This Row],[WTG Total Gneration (KWh)]]-Input_Raw[[#This Row],[66 kV_Wind_F1_Export_reading]]</f>
        <v>51003</v>
      </c>
      <c r="BN126" s="111">
        <f>(Input_Raw[[#This Row],[WTG Total Gneration (KWh)]]-Input_Raw[[#This Row],[66 kV_Wind_F1_Export_reading]])/Input_Raw[[#This Row],[WTG Total Gneration (KWh)]]</f>
        <v>3.5282691122359398E-2</v>
      </c>
      <c r="BO126" s="89">
        <v>70.2</v>
      </c>
      <c r="BP126" s="99"/>
      <c r="BQ126" s="135">
        <v>1492.15</v>
      </c>
      <c r="BR126" s="207"/>
    </row>
    <row r="127" spans="1:70">
      <c r="A127" s="240">
        <f t="shared" si="14"/>
        <v>45867</v>
      </c>
      <c r="B127" s="11">
        <f>YEAR(Input_Raw[[#This Row],[Date]])+IF(MONTH(Input_Raw[[#This Row],[Date]])&gt;=4,1,0)</f>
        <v>2026</v>
      </c>
      <c r="C127" s="11">
        <f>YEAR(Input_Raw[[#This Row],[Date]])</f>
        <v>2025</v>
      </c>
      <c r="D127" s="12">
        <f>A127-DAY(A127)+1</f>
        <v>45839</v>
      </c>
      <c r="E127" s="11">
        <f>DAY(EOMONTH(Input_Raw[[#This Row],[Date]],0))</f>
        <v>31</v>
      </c>
      <c r="F127" s="137">
        <v>53282</v>
      </c>
      <c r="G127" s="137">
        <v>55924</v>
      </c>
      <c r="H127" s="137">
        <v>53957</v>
      </c>
      <c r="I127" s="137">
        <v>48120</v>
      </c>
      <c r="J127" s="137">
        <v>54651</v>
      </c>
      <c r="K127" s="137">
        <v>49104</v>
      </c>
      <c r="L127" s="137">
        <v>54330</v>
      </c>
      <c r="M127" s="137">
        <v>56355</v>
      </c>
      <c r="N127" s="137">
        <v>54986</v>
      </c>
      <c r="O127" s="137">
        <v>54071</v>
      </c>
      <c r="P127" s="137">
        <v>52487</v>
      </c>
      <c r="Q127" s="137">
        <v>54573</v>
      </c>
      <c r="R127" s="137">
        <v>54906</v>
      </c>
      <c r="S127" s="137">
        <v>40656</v>
      </c>
      <c r="T127" s="137">
        <v>54211</v>
      </c>
      <c r="U127" s="137">
        <v>54630</v>
      </c>
      <c r="V127" s="137">
        <v>50045</v>
      </c>
      <c r="W127" s="137">
        <v>53477</v>
      </c>
      <c r="X127" s="137">
        <v>53213</v>
      </c>
      <c r="Y127" s="137">
        <v>51101</v>
      </c>
      <c r="Z127" s="137">
        <v>51305</v>
      </c>
      <c r="AA127" s="137">
        <v>40585</v>
      </c>
      <c r="AB127" s="137">
        <v>56360</v>
      </c>
      <c r="AC127" s="13">
        <v>56526</v>
      </c>
      <c r="AD127" s="13">
        <v>58334</v>
      </c>
      <c r="AE127" s="13">
        <v>56710</v>
      </c>
      <c r="AF127" s="138">
        <v>9.4709027939372472</v>
      </c>
      <c r="AG127" s="138">
        <v>9.7415971921549769</v>
      </c>
      <c r="AH127" s="138">
        <v>9.357430537541692</v>
      </c>
      <c r="AI127" s="138">
        <v>9.1505555510520864</v>
      </c>
      <c r="AJ127" s="138">
        <v>9.6926388872994167</v>
      </c>
      <c r="AK127" s="138">
        <v>9.3187943485611573</v>
      </c>
      <c r="AL127" s="138">
        <v>9.5803472101688172</v>
      </c>
      <c r="AM127" s="138">
        <v>9.6036805146270208</v>
      </c>
      <c r="AN127" s="138">
        <v>9.6831944088140958</v>
      </c>
      <c r="AO127" s="138">
        <v>9.4136111140251035</v>
      </c>
      <c r="AP127" s="138">
        <v>9.505069457822362</v>
      </c>
      <c r="AQ127" s="138">
        <v>10.012777802016981</v>
      </c>
      <c r="AR127" s="138">
        <v>9.4689583248562119</v>
      </c>
      <c r="AS127" s="138">
        <v>9.2610416544808185</v>
      </c>
      <c r="AT127" s="138">
        <v>9.4817361136277345</v>
      </c>
      <c r="AU127" s="138">
        <v>9.5275000002648902</v>
      </c>
      <c r="AV127" s="138">
        <v>9.2559027903609667</v>
      </c>
      <c r="AW127" s="138">
        <v>9.3602083126703732</v>
      </c>
      <c r="AX127" s="138">
        <v>9.3336805568800898</v>
      </c>
      <c r="AY127" s="138">
        <v>9.24340276254547</v>
      </c>
      <c r="AZ127" s="138">
        <v>9.4279710520868587</v>
      </c>
      <c r="BA127" s="138">
        <v>8.352708313200198</v>
      </c>
      <c r="BB127" s="138">
        <v>9.6449999974833478</v>
      </c>
      <c r="BC127" s="14">
        <v>9.6234721938768875</v>
      </c>
      <c r="BD127" s="14">
        <v>9.787777774863752</v>
      </c>
      <c r="BE127" s="14">
        <v>9.7680555317136815</v>
      </c>
      <c r="BF127" s="139">
        <f>SUM(Input_Raw[[#This Row],[O2_01]:[O2_26]])</f>
        <v>1373899</v>
      </c>
      <c r="BG127" s="140">
        <f>IFERROR(AVERAGE(Input_Raw[[#This Row],[WS_O2_01]:[WS_O2_26]]),"")</f>
        <v>9.4641544306512415</v>
      </c>
      <c r="BH127" s="141"/>
      <c r="BI127" s="141"/>
      <c r="BJ127" s="13">
        <v>1327950</v>
      </c>
      <c r="BK127" s="13">
        <v>0</v>
      </c>
      <c r="BL127" s="15">
        <f>Input_Raw[[#This Row],[66 kV_Wind_F1_Export_reading]]-Input_Raw[[#This Row],[66 kV_Wind_F1_Import_reading]]</f>
        <v>1327950</v>
      </c>
      <c r="BM127" s="142">
        <f>Input_Raw[[#This Row],[WTG Total Gneration (KWh)]]-Input_Raw[[#This Row],[66 kV_Wind_F1_Export_reading]]</f>
        <v>45949</v>
      </c>
      <c r="BN127" s="111">
        <f>(Input_Raw[[#This Row],[WTG Total Gneration (KWh)]]-Input_Raw[[#This Row],[66 kV_Wind_F1_Export_reading]])/Input_Raw[[#This Row],[WTG Total Gneration (KWh)]]</f>
        <v>3.3444234255938753E-2</v>
      </c>
      <c r="BO127" s="89">
        <v>70.2</v>
      </c>
      <c r="BP127" s="99"/>
      <c r="BQ127" s="135">
        <v>1426.13</v>
      </c>
      <c r="BR127" s="207"/>
    </row>
    <row r="128" spans="1:70">
      <c r="A128" s="240">
        <f t="shared" si="14"/>
        <v>45868</v>
      </c>
      <c r="B128" s="11">
        <f>YEAR(Input_Raw[[#This Row],[Date]])+IF(MONTH(Input_Raw[[#This Row],[Date]])&gt;=4,1,0)</f>
        <v>2026</v>
      </c>
      <c r="C128" s="11">
        <f>YEAR(Input_Raw[[#This Row],[Date]])</f>
        <v>2025</v>
      </c>
      <c r="D128" s="12">
        <f>A128-DAY(A128)+1</f>
        <v>45839</v>
      </c>
      <c r="E128" s="11">
        <f>DAY(EOMONTH(Input_Raw[[#This Row],[Date]],0))</f>
        <v>31</v>
      </c>
      <c r="F128" s="137">
        <v>39889</v>
      </c>
      <c r="G128" s="137">
        <v>41526</v>
      </c>
      <c r="H128" s="137">
        <v>40631</v>
      </c>
      <c r="I128" s="137">
        <v>38501</v>
      </c>
      <c r="J128" s="137">
        <v>41976</v>
      </c>
      <c r="K128" s="137">
        <v>35021</v>
      </c>
      <c r="L128" s="137">
        <v>36708</v>
      </c>
      <c r="M128" s="137">
        <v>41261</v>
      </c>
      <c r="N128" s="137">
        <v>42704</v>
      </c>
      <c r="O128" s="137">
        <v>36521</v>
      </c>
      <c r="P128" s="137">
        <v>35545</v>
      </c>
      <c r="Q128" s="137">
        <v>37225</v>
      </c>
      <c r="R128" s="137">
        <v>38877</v>
      </c>
      <c r="S128" s="137">
        <v>9322</v>
      </c>
      <c r="T128" s="137">
        <v>34521</v>
      </c>
      <c r="U128" s="137">
        <v>31378</v>
      </c>
      <c r="V128" s="137">
        <v>38415</v>
      </c>
      <c r="W128" s="137">
        <v>37313</v>
      </c>
      <c r="X128" s="137">
        <v>38815</v>
      </c>
      <c r="Y128" s="137">
        <v>34433</v>
      </c>
      <c r="Z128" s="137">
        <v>38190</v>
      </c>
      <c r="AA128" s="137">
        <v>32845</v>
      </c>
      <c r="AB128" s="137">
        <v>40877</v>
      </c>
      <c r="AC128" s="13">
        <v>37858</v>
      </c>
      <c r="AD128" s="13">
        <v>46065</v>
      </c>
      <c r="AE128" s="13">
        <v>40067</v>
      </c>
      <c r="AF128" s="138">
        <v>8.2100000000000009</v>
      </c>
      <c r="AG128" s="138">
        <v>8.35</v>
      </c>
      <c r="AH128" s="138">
        <v>8.08</v>
      </c>
      <c r="AI128" s="138">
        <v>8.02</v>
      </c>
      <c r="AJ128" s="138">
        <v>8.3800000000000008</v>
      </c>
      <c r="AK128" s="138">
        <v>7.94</v>
      </c>
      <c r="AL128" s="138">
        <v>7.79</v>
      </c>
      <c r="AM128" s="138">
        <v>8.14</v>
      </c>
      <c r="AN128" s="138">
        <v>8.4600000000000009</v>
      </c>
      <c r="AO128" s="138">
        <v>7.8</v>
      </c>
      <c r="AP128" s="138">
        <v>7.82</v>
      </c>
      <c r="AQ128" s="138">
        <v>8.4</v>
      </c>
      <c r="AR128" s="138">
        <v>8.02</v>
      </c>
      <c r="AS128" s="138">
        <v>7.45</v>
      </c>
      <c r="AT128" s="138">
        <v>7.59</v>
      </c>
      <c r="AU128" s="138">
        <v>7.31</v>
      </c>
      <c r="AV128" s="138">
        <v>8.08</v>
      </c>
      <c r="AW128" s="138">
        <v>7.83</v>
      </c>
      <c r="AX128" s="138">
        <v>7.92</v>
      </c>
      <c r="AY128" s="138">
        <v>7.67</v>
      </c>
      <c r="AZ128" s="138">
        <v>7.94</v>
      </c>
      <c r="BA128" s="138">
        <v>7.56</v>
      </c>
      <c r="BB128" s="138">
        <v>8.1999999999999993</v>
      </c>
      <c r="BC128" s="14">
        <v>7.92</v>
      </c>
      <c r="BD128" s="14">
        <v>8.52</v>
      </c>
      <c r="BE128" s="14">
        <v>8.16</v>
      </c>
      <c r="BF128" s="139">
        <f>SUM(Input_Raw[[#This Row],[O2_01]:[O2_26]])</f>
        <v>966484</v>
      </c>
      <c r="BG128" s="140">
        <f>IFERROR(AVERAGE(Input_Raw[[#This Row],[WS_O2_01]:[WS_O2_26]]),"")</f>
        <v>7.983076923076923</v>
      </c>
      <c r="BH128" s="141"/>
      <c r="BI128" s="141"/>
      <c r="BJ128" s="13">
        <v>938700</v>
      </c>
      <c r="BK128" s="13">
        <v>0</v>
      </c>
      <c r="BL128" s="15">
        <f>Input_Raw[[#This Row],[66 kV_Wind_F1_Export_reading]]-Input_Raw[[#This Row],[66 kV_Wind_F1_Import_reading]]</f>
        <v>938700</v>
      </c>
      <c r="BM128" s="142">
        <f>Input_Raw[[#This Row],[WTG Total Gneration (KWh)]]-Input_Raw[[#This Row],[66 kV_Wind_F1_Export_reading]]</f>
        <v>27784</v>
      </c>
      <c r="BN128" s="111">
        <f>(Input_Raw[[#This Row],[WTG Total Gneration (KWh)]]-Input_Raw[[#This Row],[66 kV_Wind_F1_Export_reading]])/Input_Raw[[#This Row],[WTG Total Gneration (KWh)]]</f>
        <v>2.8747501251960714E-2</v>
      </c>
      <c r="BO128" s="89">
        <v>70.2</v>
      </c>
      <c r="BP128" s="99"/>
      <c r="BQ128" s="135">
        <v>1052.55</v>
      </c>
      <c r="BR128" s="207"/>
    </row>
    <row r="129" spans="1:70">
      <c r="A129" s="240">
        <f t="shared" si="14"/>
        <v>45869</v>
      </c>
      <c r="B129" s="11">
        <f>YEAR(Input_Raw[[#This Row],[Date]])+IF(MONTH(Input_Raw[[#This Row],[Date]])&gt;=4,1,0)</f>
        <v>2026</v>
      </c>
      <c r="C129" s="11">
        <f>YEAR(Input_Raw[[#This Row],[Date]])</f>
        <v>2025</v>
      </c>
      <c r="D129" s="12">
        <f>A129-DAY(A129)+1</f>
        <v>45839</v>
      </c>
      <c r="E129" s="11">
        <f>DAY(EOMONTH(Input_Raw[[#This Row],[Date]],0))</f>
        <v>31</v>
      </c>
      <c r="F129" s="137">
        <v>26089</v>
      </c>
      <c r="G129" s="137">
        <v>26908</v>
      </c>
      <c r="H129" s="137">
        <v>24985</v>
      </c>
      <c r="I129" s="137">
        <v>31113</v>
      </c>
      <c r="J129" s="137">
        <v>26268</v>
      </c>
      <c r="K129" s="137">
        <v>35936</v>
      </c>
      <c r="L129" s="137">
        <v>28345</v>
      </c>
      <c r="M129" s="137">
        <v>26394</v>
      </c>
      <c r="N129" s="137">
        <v>24924</v>
      </c>
      <c r="O129" s="137">
        <v>25183</v>
      </c>
      <c r="P129" s="137">
        <v>28122</v>
      </c>
      <c r="Q129" s="137">
        <v>24498</v>
      </c>
      <c r="R129" s="137">
        <v>28070</v>
      </c>
      <c r="S129" s="137">
        <v>11904</v>
      </c>
      <c r="T129" s="137">
        <v>24215</v>
      </c>
      <c r="U129" s="137">
        <v>28805</v>
      </c>
      <c r="V129" s="137">
        <v>39800</v>
      </c>
      <c r="W129" s="137">
        <v>36902</v>
      </c>
      <c r="X129" s="137">
        <v>36829</v>
      </c>
      <c r="Y129" s="137">
        <v>30961</v>
      </c>
      <c r="Z129" s="137">
        <v>37896</v>
      </c>
      <c r="AA129" s="137">
        <v>37976</v>
      </c>
      <c r="AB129" s="137">
        <v>25202</v>
      </c>
      <c r="AC129" s="13">
        <v>31213</v>
      </c>
      <c r="AD129" s="13">
        <v>28000</v>
      </c>
      <c r="AE129" s="13">
        <v>25348</v>
      </c>
      <c r="AF129" s="138">
        <v>6.91</v>
      </c>
      <c r="AG129" s="138">
        <v>6.87</v>
      </c>
      <c r="AH129" s="138">
        <v>6.66</v>
      </c>
      <c r="AI129" s="138">
        <v>7.26</v>
      </c>
      <c r="AJ129" s="138">
        <v>6.96</v>
      </c>
      <c r="AK129" s="138">
        <v>7.83</v>
      </c>
      <c r="AL129" s="138">
        <v>6.99</v>
      </c>
      <c r="AM129" s="138">
        <v>6.73</v>
      </c>
      <c r="AN129" s="138">
        <v>6.77</v>
      </c>
      <c r="AO129" s="138">
        <v>6.77</v>
      </c>
      <c r="AP129" s="138">
        <v>7.08</v>
      </c>
      <c r="AQ129" s="138">
        <v>6.9</v>
      </c>
      <c r="AR129" s="138">
        <v>7.02</v>
      </c>
      <c r="AS129" s="138">
        <v>6.48</v>
      </c>
      <c r="AT129" s="138">
        <v>6.87</v>
      </c>
      <c r="AU129" s="138">
        <v>7.06</v>
      </c>
      <c r="AV129" s="138">
        <v>8.1999999999999993</v>
      </c>
      <c r="AW129" s="138">
        <v>7.81</v>
      </c>
      <c r="AX129" s="138">
        <v>7.82</v>
      </c>
      <c r="AY129" s="138">
        <v>7.34</v>
      </c>
      <c r="AZ129" s="138">
        <v>7.93</v>
      </c>
      <c r="BA129" s="138">
        <v>8.02</v>
      </c>
      <c r="BB129" s="138">
        <v>6.73</v>
      </c>
      <c r="BC129" s="14">
        <v>7.28</v>
      </c>
      <c r="BD129" s="14">
        <v>6.88</v>
      </c>
      <c r="BE129" s="14">
        <v>6.74</v>
      </c>
      <c r="BF129" s="139">
        <f>SUM(Input_Raw[[#This Row],[O2_01]:[O2_26]])</f>
        <v>751886</v>
      </c>
      <c r="BG129" s="140">
        <f>IFERROR(AVERAGE(Input_Raw[[#This Row],[WS_O2_01]:[WS_O2_26]]),"")</f>
        <v>7.150384615384616</v>
      </c>
      <c r="BH129" s="141"/>
      <c r="BI129" s="141"/>
      <c r="BJ129" s="13">
        <v>731700</v>
      </c>
      <c r="BK129" s="13">
        <v>0</v>
      </c>
      <c r="BL129" s="15">
        <f>Input_Raw[[#This Row],[66 kV_Wind_F1_Export_reading]]-Input_Raw[[#This Row],[66 kV_Wind_F1_Import_reading]]</f>
        <v>731700</v>
      </c>
      <c r="BM129" s="142">
        <f>Input_Raw[[#This Row],[WTG Total Gneration (KWh)]]-Input_Raw[[#This Row],[66 kV_Wind_F1_Export_reading]]</f>
        <v>20186</v>
      </c>
      <c r="BN129" s="111">
        <f>(Input_Raw[[#This Row],[WTG Total Gneration (KWh)]]-Input_Raw[[#This Row],[66 kV_Wind_F1_Export_reading]])/Input_Raw[[#This Row],[WTG Total Gneration (KWh)]]</f>
        <v>2.6847155020840924E-2</v>
      </c>
      <c r="BO129" s="89">
        <v>70.2</v>
      </c>
      <c r="BP129" s="99"/>
      <c r="BQ129" s="135">
        <v>800.33</v>
      </c>
      <c r="BR129" s="207"/>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80"/>
  <sheetViews>
    <sheetView zoomScale="80" workbookViewId="0">
      <pane xSplit="7" ySplit="1" topLeftCell="H1656" activePane="bottomRight" state="frozen"/>
      <selection pane="topRight" activeCell="H1" sqref="H1"/>
      <selection pane="bottomLeft" activeCell="A2" sqref="A2"/>
      <selection pane="bottomRight" activeCell="L1676" sqref="L1676"/>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1982</v>
      </c>
      <c r="O1" s="464" t="s">
        <v>274</v>
      </c>
      <c r="P1" s="464" t="s">
        <v>275</v>
      </c>
      <c r="Q1" s="464" t="s">
        <v>276</v>
      </c>
      <c r="R1" s="464" t="s">
        <v>277</v>
      </c>
      <c r="S1" s="464" t="s">
        <v>278</v>
      </c>
      <c r="T1" s="464" t="s">
        <v>279</v>
      </c>
      <c r="U1" s="464" t="s">
        <v>280</v>
      </c>
      <c r="V1" s="464" t="s">
        <v>281</v>
      </c>
      <c r="W1" s="466" t="s">
        <v>282</v>
      </c>
      <c r="X1" s="466" t="s">
        <v>284</v>
      </c>
      <c r="Y1" s="464" t="s">
        <v>283</v>
      </c>
      <c r="Z1" s="467" t="s">
        <v>1983</v>
      </c>
      <c r="AA1" s="467" t="s">
        <v>1984</v>
      </c>
      <c r="AB1" s="467" t="s">
        <v>1985</v>
      </c>
      <c r="AC1" s="467" t="s">
        <v>285</v>
      </c>
      <c r="AD1" s="35" t="s">
        <v>286</v>
      </c>
    </row>
    <row r="2" spans="1:30">
      <c r="A2" s="102">
        <v>1</v>
      </c>
      <c r="B2" s="468">
        <f>YEAR(Table6[[#This Row],[Date]])+IF(MONTH(Table6[[#This Row],[Date]])&gt;=4,1,0)</f>
        <v>2026</v>
      </c>
      <c r="C2" s="102">
        <f>YEAR(Table6[[#This Row],[Date]])</f>
        <v>2025</v>
      </c>
      <c r="D2" s="102" t="s">
        <v>1986</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1986</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1986</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1986</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1986</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1986</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1986</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1986</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1986</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1986</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1986</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1986</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1986</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1986</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1986</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1986</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1986</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1986</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1986</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1986</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1986</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1986</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1986</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1986</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1986</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1986</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1986</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1986</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1986</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1986</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1986</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1986</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1986</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1986</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1986</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1986</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1986</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1986</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1986</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1986</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1986</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1986</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1986</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1986</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1986</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1986</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1986</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1986</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1986</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1986</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1986</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1986</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1986</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1986</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1986</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1986</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1986</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1986</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1986</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1986</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1986</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1986</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1986</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1986</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1986</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1986</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1986</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1986</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1986</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1986</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1986</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1986</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1986</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1986</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1986</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1986</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1986</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1986</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1986</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1986</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1986</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1986</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1986</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1986</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1986</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1986</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1986</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1986</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1986</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1986</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1986</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1986</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1986</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1986</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1986</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1986</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1986</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1986</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1986</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1986</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1986</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1986</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1986</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1986</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1986</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1986</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1986</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1986</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1986</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1986</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1986</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1986</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1986</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1986</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1986</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1986</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1986</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1986</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1986</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1986</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1986</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1986</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1986</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1986</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1986</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1986</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1986</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1986</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1986</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1986</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1986</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1986</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1986</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1986</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1986</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1986</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1986</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1986</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1986</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1986</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1986</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1986</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1986</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1986</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1986</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1986</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1986</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1986</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1986</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1986</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1986</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1986</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1986</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1986</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1986</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1986</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1986</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1986</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1986</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1986</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1986</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1986</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1986</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1986</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1986</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1986</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1986</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1986</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1986</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1986</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1986</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1986</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1986</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1986</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1986</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1986</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1986</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1986</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1986</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1986</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1986</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1986</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1986</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1986</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1986</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1986</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1986</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1986</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1986</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1986</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1986</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1986</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1986</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1986</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1986</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1986</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1986</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1986</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1986</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1986</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1986</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1986</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1986</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1986</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1986</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1986</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1986</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1986</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1986</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1986</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1986</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1986</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1986</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1986</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1986</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1986</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1986</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1986</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1986</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1986</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1986</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1986</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1986</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1986</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1986</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1986</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1986</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1986</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1986</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1986</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1986</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1986</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1986</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1986</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1986</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1986</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1986</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1986</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1986</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1986</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1986</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1986</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1986</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1986</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1986</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1986</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1986</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1986</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1986</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1986</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1986</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1986</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1986</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1986</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1986</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1986</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1986</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1986</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1986</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1986</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1986</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1986</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1986</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1986</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1986</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1986</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1986</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1986</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1986</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1986</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1986</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1986</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1986</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1986</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1986</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1986</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1986</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1986</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1986</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1986</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1986</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1986</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1986</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1986</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1986</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1986</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1986</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1986</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1986</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1986</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1986</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1986</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1986</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1986</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1986</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1986</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1986</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1986</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1986</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1986</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1986</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1986</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1986</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1986</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1986</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1986</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1986</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1986</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1986</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1986</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1986</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1986</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1986</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1986</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1986</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1986</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1986</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1986</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1986</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1986</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1986</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1986</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1986</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1986</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1986</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1986</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1986</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1986</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1986</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1986</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1986</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1986</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1986</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1986</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1986</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1986</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1986</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1986</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1986</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1986</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1986</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1986</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1986</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1986</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1986</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1986</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1986</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1986</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1986</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1986</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1986</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1986</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1986</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1986</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1986</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1986</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1986</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1986</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1986</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1986</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1986</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1986</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1986</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1986</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1986</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1986</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1986</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1986</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1986</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1986</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1986</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1986</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1986</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1986</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1986</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1986</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1986</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1986</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1986</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1986</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1986</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1986</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1986</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1986</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1986</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1986</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1986</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1986</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1986</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1986</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1986</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1986</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1986</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1986</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1986</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1986</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1986</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1986</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1986</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1986</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1986</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1986</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1986</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1986</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1986</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1986</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1986</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1986</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1986</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1986</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1986</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1986</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1986</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1986</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1986</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1986</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1986</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1986</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1986</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1986</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1986</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1986</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1986</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1986</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1986</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1986</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1986</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1986</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1986</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1986</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1986</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1986</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1986</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1986</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1986</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1986</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1986</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1986</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1986</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1986</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1986</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1986</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1986</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1986</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1986</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1986</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1986</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1986</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1986</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1986</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1986</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1986</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1986</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1986</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1986</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1986</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1986</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1986</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1986</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1986</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1986</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1986</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1986</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1986</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1986</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1986</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1986</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1986</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1986</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1986</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1986</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1986</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1986</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1986</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1986</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1986</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1986</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1986</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1986</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1986</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1986</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1986</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1986</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1986</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1986</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1986</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1986</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1986</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1986</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1986</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1986</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1986</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1986</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1986</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1986</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1986</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1986</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1986</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1986</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1986</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1986</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1986</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1986</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1986</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1986</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1986</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1986</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1986</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1986</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1986</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1986</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1986</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1986</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1986</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1986</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1986</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1986</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1986</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1986</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1986</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1986</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1986</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1986</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1986</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1986</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1986</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1845</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1986</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1986</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1986</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1986</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1986</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1986</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1986</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1986</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1986</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1986</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1986</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1986</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1986</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1986</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1986</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1986</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1986</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1986</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1986</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1986</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1986</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1986</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1986</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1986</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1986</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1986</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1986</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1986</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1986</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1986</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1986</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1986</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1986</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1986</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1986</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1986</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1986</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1986</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1986</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1986</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1986</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1986</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1986</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1986</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1986</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1986</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1986</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1986</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1986</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1986</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1986</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1986</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1986</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1986</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1986</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1986</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1986</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1986</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1986</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1986</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1986</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1986</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1986</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1986</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1986</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1986</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1986</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1986</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1986</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1986</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1986</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1986</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1986</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1986</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1986</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1986</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1986</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1986</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1986</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1986</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1986</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1986</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1986</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1986</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1986</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1986</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1986</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1986</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1986</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1986</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1986</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1986</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1986</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1986</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1986</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1986</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1986</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1986</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1986</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1986</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1986</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1986</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1986</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1986</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1986</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1986</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1986</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1986</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1986</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1986</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1986</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1986</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1986</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1986</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1986</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1986</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1986</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1986</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1986</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1986</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1986</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1986</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1986</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1986</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1986</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2126</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1986</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1986</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1986</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1986</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1986</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1986</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1986</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1986</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1986</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1986</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1986</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1986</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1986</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1986</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1986</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1986</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1986</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1986</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1986</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1986</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1986</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1986</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1986</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1986</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1986</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1986</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1986</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1986</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1986</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2123</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1986</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2127</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1986</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2128</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1986</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1800</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1986</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1986</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1801</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1986</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1801</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1986</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1801</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1986</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1802</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1986</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1803</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1986</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1801</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1986</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1804</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1986</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1801</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1986</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1801</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1986</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1805</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1986</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1986</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1986</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1986</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1810</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1986</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1986</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1986</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1986</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1839</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1986</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1813</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1986</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1986</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1815</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1986</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1813</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1986</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1986</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1986</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1986</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1986</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1986</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1986</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1816</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1986</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1986</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1986</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1986</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1986</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1986</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1840</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1986</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1819</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1986</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1820</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1986</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1986</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1986</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1986</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1986</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1986</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1986</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1986</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1986</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1986</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1825</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1986</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1825</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1986</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1834</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1986</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1986</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1986</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1841</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1986</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1986</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1986</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1826</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1986</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1827</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1986</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1828</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1986</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1986</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1986</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1986</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1825</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1986</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1833</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1986</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1986</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1986</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1842</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1986</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1834</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1986</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1986</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1835</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1986</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1986</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1836</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1986</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1986</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1986</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1843</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1986</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1843</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1986</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1843</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1986</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1843</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1986</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1986</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1843</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1986</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1843</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1986</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1843</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1986</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1843</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1986</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1843</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1986</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1843</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1986</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1843</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1986</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1986</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1843</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1986</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2124</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1986</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1844</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1986</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1843</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1986</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1843</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1986</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1843</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1986</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1986</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1986</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1986</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1986</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1846</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1986</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1847</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1986</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1986</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1848</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1986</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1986</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1849</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1986</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1853</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1986</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1986</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1986</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1854</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1986</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1853</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1986</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1986</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1853</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1986</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1853</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1986</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1853</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1986</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1853</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1986</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1853</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1986</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1986</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1853</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1986</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1853</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1986</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1855</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1986</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1853</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1986</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1855</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1986</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1853</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1986</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1853</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1986</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1986</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1853</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1986</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1986</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1853</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1986</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1853</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1986</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1853</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1986</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1986</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1986</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1880</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1986</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1853</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1986</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1853</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1986</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1881</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1986</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1986</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1881</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1986</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1986</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1853</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1986</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1986</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1986</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1986</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1986</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1986</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1986</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1986</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1986</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1986</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1986</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1986</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1986</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1986</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1986</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1986</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1986</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1853</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1986</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1986</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1986</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1855</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1986</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1986</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1986</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1986</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1895</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1986</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1896</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1986</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1986</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1986</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1986</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1986</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1986</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1986</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1986</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1986</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1986</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1986</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1986</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1897</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1986</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1986</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1986</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1986</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1986</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1853</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1986</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1853</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1986</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1986</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1986</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1853</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1986</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1853</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1986</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1986</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1986</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1853</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1986</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1986</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1986</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1986</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1986</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1853</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1986</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1853</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1986</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1853</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1986</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1853</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1986</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1853</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1986</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1853</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1986</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1853</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1986</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1853</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1986</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1853</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1986</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1853</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1986</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1848</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1986</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1900</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1986</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1853</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1986</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1986</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1853</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1986</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1853</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1986</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1986</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1853</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1986</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1986</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1986</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1853</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1986</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1986</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1848</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1986</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1848</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1986</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1848</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1986</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1901</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1986</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1986</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1986</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1986</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1848</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1986</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1986</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1986</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1986</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1986</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1910</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1986</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1986</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1986</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1986</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1986</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1986</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1911</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1986</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1914</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1986</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1914</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1986</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1914</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1986</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1986</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1986</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1986</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1915</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1986</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1986</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1986</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1986</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1986</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1986</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1986</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1986</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1986</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1986</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1986</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1916</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1986</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1986</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1917</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1986</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1986</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1918</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1986</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1986</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1917</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1986</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1986</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1986</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1986</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1919</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1986</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1917</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1986</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1917</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1986</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1986</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1986</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1919</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1986</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1917</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1986</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1917</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1986</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1920</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1986</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1919</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1986</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1919</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1986</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1919</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1986</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1986</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1986</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1921</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1986</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1921</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1986</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1921</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1986</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1986</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1921</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1986</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1986</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1922</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1986</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1986</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1986</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1923</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1986</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1986</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1924</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1986</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1986</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1986</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1986</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1925</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1986</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1921</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1986</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1986</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1926</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1986</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1921</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1986</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1921</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1986</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1986</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1986</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1986</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1986</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1921</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1986</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1986</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1986</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1986</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1986</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1986</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1986</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1986</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1986</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1986</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1986</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1986</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1986</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1986</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1986</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1986</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1986</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1927</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1986</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1986</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1986</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1986</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1986</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1986</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1928</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1986</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1986</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1986</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1986</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1986</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1929</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1986</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1986</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1930</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1986</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1986</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1986</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1986</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1986</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1986</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1931</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1986</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1986</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1986</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1986</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1986</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1986</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1927</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1986</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1986</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1986</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1986</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1986</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1919</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1986</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1919</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1986</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1932</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1986</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1986</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1919</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1986</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1919</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1986</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1933</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1986</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1986</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1986</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1986</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1986</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1927</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1986</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1919</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1986</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1986</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1986</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1919</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1986</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1986</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1986</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1986</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1986</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1919</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1986</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1919</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1986</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1986</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1986</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1937</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1986</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1986</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1986</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1919</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1986</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1932</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1986</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1919</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1986</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1919</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1986</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1919</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1986</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1919</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1986</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1919</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1986</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2125</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1986</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1986</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1986</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1986</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1986</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1986</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1986</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1938</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1986</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1986</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1986</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1939</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1986</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1986</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1940</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1986</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1986</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1919</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1986</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1919</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1986</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1939</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1986</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1939</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1986</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1919</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1986</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1941</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1986</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1986</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1950</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1942</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1986</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1950</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1942</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1986</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1950</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1942</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1986</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1986</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1919</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1986</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1950</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1942</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1986</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1950</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1942</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1986</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1986</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1919</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1986</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1919</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1986</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1919</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1986</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1986</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1950</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1942</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1986</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1950</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1942</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1986</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1950</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1942</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1986</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1919</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1986</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1986</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1986</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1943</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1986</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1986</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1986</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1950</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1942</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1986</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1950</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1942</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1986</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1919</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1986</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1919</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1986</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1950</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1942</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1986</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1919</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1986</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1919</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1986</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1944</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1986</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1945</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1986</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1946</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1986</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1950</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1942</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1986</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1950</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1942</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1986</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1919</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1986</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1986</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1986</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1986</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1986</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1919</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1986</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1919</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1986</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1947</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1986</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1986</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1950</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1948</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1986</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1950</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1948</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1986</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1919</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1986</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1919</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1986</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1919</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1986</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1919</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1986</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1950</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1948</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1986</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1919</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1986</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1919</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1986</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1930</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1986</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1949</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1986</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1919</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1986</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1919</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1986</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1986</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1986</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1950</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1948</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1986</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1950</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1948</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1986</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1919</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1986</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1986</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1951</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1986</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1952</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1986</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1952</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1986</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1953</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1986</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1986</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1919</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1986</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1919</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1986</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1952</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1986</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1919</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1986</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1952</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1986</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1952</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1986</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1919</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1986</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1919</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1986</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1952</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1986</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1954</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1986</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1955</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1986</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1919</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1986</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1919</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1986</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1986</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1919</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1986</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1919</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1986</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1956</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1986</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1986</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1919</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1986</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1930</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1986</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1930</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1986</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1919</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1986</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1960</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1986</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1986</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1961</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1986</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1919</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1986</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1919</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1986</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1930</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1986</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1962</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1986</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1963</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1986</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1919</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1986</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1930</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1986</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1919</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1986</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1919</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1986</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1919</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1986</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1986</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1919</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1986</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1919</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1986</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1919</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1986</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1919</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1986</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1919</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1986</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1950</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1964</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1986</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1919</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1986</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1986</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1950</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1964</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1986</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1965</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1986</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1919</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1986</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1919</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1986</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1966</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1986</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1967</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1986</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1986</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1986</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1853</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1986</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1919</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1986</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1919</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1986</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1919</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1986</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1919</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1986</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1919</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1986</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1972</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1986</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1919</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1986</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1919</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1986</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1919</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1986</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1919</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1986</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1919</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1986</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1919</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1986</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1973</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1986</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1974</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1986</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2084</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1986</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2084</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1986</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1919</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1986</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1919</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1986</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1975</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1986</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1976</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1986</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1977</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1986</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1978</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1986</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1978</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1986</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1919</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1986</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1919</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1986</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2085</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1986</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2085</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1986</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1977</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1986</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1979</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1986</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1979</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1986</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1980</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1986</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1976</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1986</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1977</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1986</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1980</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1986</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1981</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1986</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1980</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1986</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1919</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1986</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1919</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1986</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1919</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1986</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1919</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1986</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1986</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1991</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1986</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1986</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1992</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1986</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1919</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1986</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1919</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1986</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1993</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1986</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1919</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1986</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1919</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1986</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1919</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1986</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1986</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2085</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1986</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2085</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1986</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1992</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1986</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1994</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1986</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1992</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1986</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1919</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1986</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1995</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1986</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1992</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1986</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1986</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1986</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1986</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1986</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1919</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1986</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1919</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1986</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1919</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1986</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1919</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1986</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1919</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1986</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2085</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1986</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2085</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1986</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1996</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1986</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1996</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1986</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1996</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1986</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1919</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1986</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1919</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1986</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2085</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1986</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2085</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1986</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1997</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1986</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1997</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1986</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1998</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1986</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1919</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1986</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1973</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1986</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1919</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1986</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1919</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1986</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1919</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1986</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2085</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1986</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2085</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1986</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1919</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1986</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1919</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1986</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1919</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1986</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1998</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1986</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1986</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1986</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1986</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1986</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1986</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1919</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1986</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1986</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1986</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1919</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1986</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1919</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1986</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1919</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1986</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1919</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1986</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1919</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1986</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1919</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1986</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1919</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1986</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1919</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1986</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1986</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1986</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1986</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2086</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1986</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2086</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1986</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1999</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1986</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1919</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1986</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2000</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1986</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2086</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1986</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2086</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1986</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2001</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1986</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1919</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1986</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2002</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1986</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2003</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1986</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1986</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1919</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1986</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1919</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1986</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2087</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1986</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2004</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1986</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1919</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1986</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2005</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1986</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2006</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1986</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1919</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1986</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1919</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1986</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1919</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1986</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1919</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1986</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2088</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1986</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2089</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1986</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2007</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1986</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1919</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1986</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1986</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1919</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1986</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1986</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1986</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1919</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1986</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1986</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1919</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1986</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1919</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1986</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1919</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1986</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2008</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1986</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1919</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1986</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1919</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1986</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1986</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1986</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2089</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1986</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2089</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1986</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1986</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1986</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1919</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1986</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1919</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1986</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1986</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1919</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1986</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1919</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1986</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1919</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1986</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1986</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1986</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1986</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1986</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1919</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1986</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1986</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1986</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1919</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1986</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1919</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1986</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1986</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1986</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1919</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1986</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1919</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1986</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1919</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1986</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1919</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1986</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1919</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1986</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1986</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1919</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1986</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1919</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1986</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1919</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1986</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1919</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1986</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1919</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1986</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1919</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1986</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1919</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1986</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1919</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1986</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1986</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1919</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1986</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1919</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1986</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2009</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1986</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1919</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1986</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2089</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1986</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2089</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1986</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1919</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1986</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1919</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1986</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1919</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1986</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1919</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1986</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1919</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1986</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1919</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1986</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1919</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1986</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1919</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1986</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1986</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2010</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1986</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1919</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1986</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1986</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1986</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1950</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2011</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1986</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1919</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1986</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1919</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1986</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1919</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1986</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1919</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1986</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2012</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1986</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1919</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1986</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2013</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1986</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1919</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1986</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1919</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1986</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1986</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1986</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1919</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1986</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1919</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1986</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1919</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1986</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1950</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2011</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1986</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1919</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1986</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1919</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1986</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1986</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2090</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1986</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2090</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1986</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1986</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1919</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1986</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2014</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1986</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1986</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1919</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1986</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1919</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1986</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1919</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1986</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2091</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1986</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2091</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1986</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1919</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1986</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1919</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1986</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2018</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1986</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1919</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1986</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1919</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1986</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2015</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1986</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2024</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1986</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1919</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1986</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2025</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1986</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2024</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1986</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1919</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1986</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1919</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1986</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1919</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1986</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2092</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1986</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2092</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1986</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2025</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1986</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1986</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2092</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1986</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2092</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1986</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2093</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1986</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2093</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1986</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2029</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1986</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2030</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1986</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2031</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1986</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1919</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1986</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2094</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1986</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2094</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1986</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1919</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1986</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1919</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1986</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2032</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1986</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1919</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1986</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1919</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1986</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1986</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2025</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1986</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2095</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1986</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2095</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1986</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2032</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1986</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2033</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1986</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1919</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1986</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1919</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1986</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1986</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2025</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1986</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1986</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1919</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1986</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2025</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1986</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2045</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1986</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2046</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1986</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2096</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1986</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2097</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1986</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2096</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1986</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1919</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1986</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1919</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1986</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2025</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1986</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2032</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1986</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1919</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1986</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1986</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2048</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1986</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2025</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1986</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1919</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1986</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1950</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2049</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1986</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2049</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1986</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2050</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1986</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1986</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1919</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1986</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2024</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1986</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1919</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1986</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2051</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1986</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2049</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1986</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2025</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1986</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1986</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1919</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1986</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1986</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1919</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1986</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2052</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1986</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2053</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1986</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2054</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1986</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2025</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1986</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1919</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1986</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1919</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1986</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2025</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1986</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2025</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1986</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2055</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1986</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2055</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1986</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1986</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2056</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1986</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1919</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1986</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1919</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1986</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1919</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1986</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1919</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1986</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1919</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1986</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1919</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1986</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1919</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1986</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1919</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1986</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1919</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1986</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1919</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1986</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1919</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1986</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1919</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1986</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1919</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1986</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1919</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1986</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1919</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1986</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1919</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1986</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1919</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1986</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2057</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1986</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2058</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1986</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2061</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1986</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1919</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1986</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1919</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1986</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1919</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1986</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1919</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1986</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1919</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1986</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1919</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14" si="25">A1550+1</f>
        <v>1550</v>
      </c>
      <c r="B1551" s="468">
        <f>YEAR(Table6[[#This Row],[Date]])+IF(MONTH(Table6[[#This Row],[Date]])&gt;=4,1,0)</f>
        <v>2026</v>
      </c>
      <c r="C1551" s="102">
        <f>YEAR(Table6[[#This Row],[Date]])</f>
        <v>2025</v>
      </c>
      <c r="D1551" s="102" t="s">
        <v>1986</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2062</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1986</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1919</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1986</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2063</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1986</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2064</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1986</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1919</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1986</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1919</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1986</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1919</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1986</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2071</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1986</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2072</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1986</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2073</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1986</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2074</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1986</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2075</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1986</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2076</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1986</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2077</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1986</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2078</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1986</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1919</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1986</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1919</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1986</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1919</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1986</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2079</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1986</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2080</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1986</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2081</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1986</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2082</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1986</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2082</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1986</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1919</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1986</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1919</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1986</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1919</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1986</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2098</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1986</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2098</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1986</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1919</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1986</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1919</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1986</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1919</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1986</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1919</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1986</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1919</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1986</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1919</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1986</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1950</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2049</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1986</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1919</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1986</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2099</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1986</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1919</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1986</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1919</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1986</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2100</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1986</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2030</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1986</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1919</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1986</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1919</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1986</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1919</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1986</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2101</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1986</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1919</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1986</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1919</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1986</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2129</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102">
        <f>YEAR(Table6[[#This Row],[Date]])</f>
        <v>2025</v>
      </c>
      <c r="D1599" s="102" t="s">
        <v>1986</v>
      </c>
      <c r="E1599" s="469">
        <f>Table6[[#This Row],[Date]]-DAY(Table6[[#This Row],[Date]])+1</f>
        <v>45839</v>
      </c>
      <c r="F1599" s="470">
        <v>45860</v>
      </c>
      <c r="G1599" s="35" t="s">
        <v>75</v>
      </c>
      <c r="H1599" s="35" t="str">
        <f>IFERROR(_xlfn.XLOOKUP(Table6[[#This Row],[Affected WTG]],'Basic Data'!$A:$A,'Basic Data'!$B:$B),"")</f>
        <v>TQGXIIPL</v>
      </c>
      <c r="I1599" s="35" t="str">
        <f>IFERROR(_xlfn.XLOOKUP(Table6[[#This Row],[Affected WTG]],'Basic Data'!$A:$A,'Basic Data'!$C:$C),"")</f>
        <v>GEDA</v>
      </c>
      <c r="J1599" s="471">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2103</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102">
        <f>YEAR(Table6[[#This Row],[Date]])</f>
        <v>2025</v>
      </c>
      <c r="D1600" s="102" t="s">
        <v>1986</v>
      </c>
      <c r="E1600" s="469">
        <f>Table6[[#This Row],[Date]]-DAY(Table6[[#This Row],[Date]])+1</f>
        <v>45839</v>
      </c>
      <c r="F1600" s="470">
        <v>45860</v>
      </c>
      <c r="G1600" s="35" t="s">
        <v>83</v>
      </c>
      <c r="H1600" s="35" t="str">
        <f>IFERROR(_xlfn.XLOOKUP(Table6[[#This Row],[Affected WTG]],'Basic Data'!$A:$A,'Basic Data'!$B:$B),"")</f>
        <v>TQGXIIPL</v>
      </c>
      <c r="I1600" s="35" t="str">
        <f>IFERROR(_xlfn.XLOOKUP(Table6[[#This Row],[Affected WTG]],'Basic Data'!$A:$A,'Basic Data'!$C:$C),"")</f>
        <v>GEDA</v>
      </c>
      <c r="J1600" s="471">
        <f>IFERROR(_xlfn.XLOOKUP(Table6[[#This Row],[Affected WTG]],'Basic Data'!$A:$A,'Basic Data'!$E:$E),"")</f>
        <v>3.846153846153845E-2</v>
      </c>
      <c r="K1600" s="102">
        <v>656</v>
      </c>
      <c r="L1600" s="35"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1919</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row r="1601" spans="1:30">
      <c r="A1601" s="102">
        <f t="shared" si="25"/>
        <v>1600</v>
      </c>
      <c r="B1601" s="468">
        <f>YEAR(Table6[[#This Row],[Date]])+IF(MONTH(Table6[[#This Row],[Date]])&gt;=4,1,0)</f>
        <v>2026</v>
      </c>
      <c r="C1601" s="102">
        <f>YEAR(Table6[[#This Row],[Date]])</f>
        <v>2025</v>
      </c>
      <c r="D1601" s="102" t="s">
        <v>1986</v>
      </c>
      <c r="E1601" s="469">
        <f>Table6[[#This Row],[Date]]-DAY(Table6[[#This Row],[Date]])+1</f>
        <v>45839</v>
      </c>
      <c r="F1601" s="470">
        <v>45860</v>
      </c>
      <c r="G1601" s="35" t="s">
        <v>90</v>
      </c>
      <c r="H1601" s="35" t="str">
        <f>IFERROR(_xlfn.XLOOKUP(Table6[[#This Row],[Affected WTG]],'Basic Data'!$A:$A,'Basic Data'!$B:$B),"")</f>
        <v>TQGXIIPL</v>
      </c>
      <c r="I1601" s="35" t="str">
        <f>IFERROR(_xlfn.XLOOKUP(Table6[[#This Row],[Affected WTG]],'Basic Data'!$A:$A,'Basic Data'!$C:$C),"")</f>
        <v>GEDA</v>
      </c>
      <c r="J1601" s="471">
        <f>IFERROR(_xlfn.XLOOKUP(Table6[[#This Row],[Affected WTG]],'Basic Data'!$A:$A,'Basic Data'!$E:$E),"")</f>
        <v>3.846153846153845E-2</v>
      </c>
      <c r="K1601" s="102">
        <v>55</v>
      </c>
      <c r="L1601" s="35" t="str">
        <f>IFERROR(_xlfn.XLOOKUP(Table6[[#This Row],[Error Code]],'Basic Data'!$AA:$AA,'Basic Data'!$AB:$AB),"Incorrect Error Code")</f>
        <v>WTG shut down</v>
      </c>
      <c r="M1601" s="35" t="s">
        <v>291</v>
      </c>
      <c r="N1601" s="475"/>
      <c r="O1601" s="476">
        <v>0.87222222222222223</v>
      </c>
      <c r="P1601" s="476">
        <v>0.87222222222222223</v>
      </c>
      <c r="Q1601" s="477">
        <v>1</v>
      </c>
      <c r="R1601" s="472">
        <f>IF(Table6[[#This Row],[Work Start TimeStamp]]="","",(Table6[[#This Row],[Work Start TimeStamp]]-Table6[[#This Row],[Fault Start TimeStamp]])*24)</f>
        <v>0</v>
      </c>
      <c r="S1601" s="472">
        <f>(Table6[[#This Row],[Fault Clearance time]]-Table6[[#This Row],[Work Start TimeStamp]])*24</f>
        <v>3.0666666666666664</v>
      </c>
      <c r="T1601" s="472">
        <f>(Table6[[#This Row],[Fault Clearance time]]-Table6[[#This Row],[Fault Start TimeStamp]])*24</f>
        <v>3.0666666666666664</v>
      </c>
      <c r="U1601" s="35" t="s">
        <v>2104</v>
      </c>
      <c r="V1601" s="102" t="s">
        <v>293</v>
      </c>
      <c r="W1601" s="549">
        <f>IFERROR(Table6[[#This Row],[Breakdown Time]]*Table6[[#This Row],[Plant Equivalent Weightage]],"")</f>
        <v>0.1179487179487179</v>
      </c>
      <c r="X1601" s="473" t="s">
        <v>290</v>
      </c>
      <c r="Y1601" s="474" t="s">
        <v>95</v>
      </c>
      <c r="Z1601" s="102">
        <v>23902</v>
      </c>
      <c r="AA1601" s="468">
        <f>(Table6[[#This Row],[Paired WTG Generation for loss calculation]]/24)*Table6[[#This Row],[Breakdown Time]]</f>
        <v>3054.1444444444442</v>
      </c>
      <c r="AB1601" s="102"/>
      <c r="AC1601" s="35"/>
      <c r="AD1601" s="35"/>
    </row>
    <row r="1602" spans="1:30">
      <c r="A1602" s="102">
        <f t="shared" si="25"/>
        <v>1601</v>
      </c>
      <c r="B1602" s="468">
        <f>YEAR(Table6[[#This Row],[Date]])+IF(MONTH(Table6[[#This Row],[Date]])&gt;=4,1,0)</f>
        <v>2026</v>
      </c>
      <c r="C1602" s="102">
        <f>YEAR(Table6[[#This Row],[Date]])</f>
        <v>2025</v>
      </c>
      <c r="D1602" s="102" t="s">
        <v>1986</v>
      </c>
      <c r="E1602" s="469">
        <f>Table6[[#This Row],[Date]]-DAY(Table6[[#This Row],[Date]])+1</f>
        <v>45839</v>
      </c>
      <c r="F1602" s="470">
        <v>45861</v>
      </c>
      <c r="G1602" s="35" t="s">
        <v>77</v>
      </c>
      <c r="H1602" s="35" t="str">
        <f>IFERROR(_xlfn.XLOOKUP(Table6[[#This Row],[Affected WTG]],'Basic Data'!$A:$A,'Basic Data'!$B:$B),"")</f>
        <v>TQGXIIPL</v>
      </c>
      <c r="I1602" s="35" t="str">
        <f>IFERROR(_xlfn.XLOOKUP(Table6[[#This Row],[Affected WTG]],'Basic Data'!$A:$A,'Basic Data'!$C:$C),"")</f>
        <v>GEDA</v>
      </c>
      <c r="J1602" s="471">
        <f>IFERROR(_xlfn.XLOOKUP(Table6[[#This Row],[Affected WTG]],'Basic Data'!$A:$A,'Basic Data'!$E:$E),"")</f>
        <v>3.846153846153845E-2</v>
      </c>
      <c r="K1602" s="102">
        <v>6130</v>
      </c>
      <c r="L1602" s="35" t="str">
        <f>IFERROR(_xlfn.XLOOKUP(Table6[[#This Row],[Error Code]],'Basic Data'!$AA:$AA,'Basic Data'!$AB:$AB),"Incorrect Error Code")</f>
        <v>Yaw speed high</v>
      </c>
      <c r="M1602" s="35" t="s">
        <v>291</v>
      </c>
      <c r="N1602" s="475"/>
      <c r="O1602" s="476">
        <v>0.40902777777777777</v>
      </c>
      <c r="P1602" s="476">
        <v>0.40902777777777777</v>
      </c>
      <c r="Q1602" s="477">
        <v>0.41180555555555554</v>
      </c>
      <c r="R1602" s="472">
        <f>IF(Table6[[#This Row],[Work Start TimeStamp]]="","",(Table6[[#This Row],[Work Start TimeStamp]]-Table6[[#This Row],[Fault Start TimeStamp]])*24)</f>
        <v>0</v>
      </c>
      <c r="S1602" s="472">
        <f>(Table6[[#This Row],[Fault Clearance time]]-Table6[[#This Row],[Work Start TimeStamp]])*24</f>
        <v>6.666666666666643E-2</v>
      </c>
      <c r="T1602" s="472">
        <f>(Table6[[#This Row],[Fault Clearance time]]-Table6[[#This Row],[Fault Start TimeStamp]])*24</f>
        <v>6.666666666666643E-2</v>
      </c>
      <c r="U1602" s="35" t="s">
        <v>1919</v>
      </c>
      <c r="V1602" s="102" t="s">
        <v>293</v>
      </c>
      <c r="W1602" s="549">
        <f>IFERROR(Table6[[#This Row],[Breakdown Time]]*Table6[[#This Row],[Plant Equivalent Weightage]],"")</f>
        <v>2.5641025641025541E-3</v>
      </c>
      <c r="X1602" s="473" t="s">
        <v>294</v>
      </c>
      <c r="Y1602" s="474" t="s">
        <v>80</v>
      </c>
      <c r="Z1602" s="102">
        <v>35706</v>
      </c>
      <c r="AA1602" s="468">
        <f>(Table6[[#This Row],[Paired WTG Generation for loss calculation]]/24)*Table6[[#This Row],[Breakdown Time]]</f>
        <v>99.183333333332982</v>
      </c>
      <c r="AB1602" s="102"/>
      <c r="AC1602" s="35"/>
      <c r="AD1602" s="35"/>
    </row>
    <row r="1603" spans="1:30">
      <c r="A1603" s="102">
        <f t="shared" si="25"/>
        <v>1602</v>
      </c>
      <c r="B1603" s="468">
        <f>YEAR(Table6[[#This Row],[Date]])+IF(MONTH(Table6[[#This Row],[Date]])&gt;=4,1,0)</f>
        <v>2026</v>
      </c>
      <c r="C1603" s="102">
        <f>YEAR(Table6[[#This Row],[Date]])</f>
        <v>2025</v>
      </c>
      <c r="D1603" s="102" t="s">
        <v>1986</v>
      </c>
      <c r="E1603" s="469">
        <f>Table6[[#This Row],[Date]]-DAY(Table6[[#This Row],[Date]])+1</f>
        <v>45839</v>
      </c>
      <c r="F1603" s="470">
        <v>45861</v>
      </c>
      <c r="G1603" s="35" t="s">
        <v>77</v>
      </c>
      <c r="H1603" s="35" t="str">
        <f>IFERROR(_xlfn.XLOOKUP(Table6[[#This Row],[Affected WTG]],'Basic Data'!$A:$A,'Basic Data'!$B:$B),"")</f>
        <v>TQGXIIPL</v>
      </c>
      <c r="I1603" s="35" t="str">
        <f>IFERROR(_xlfn.XLOOKUP(Table6[[#This Row],[Affected WTG]],'Basic Data'!$A:$A,'Basic Data'!$C:$C),"")</f>
        <v>GEDA</v>
      </c>
      <c r="J1603" s="471">
        <f>IFERROR(_xlfn.XLOOKUP(Table6[[#This Row],[Affected WTG]],'Basic Data'!$A:$A,'Basic Data'!$E:$E),"")</f>
        <v>3.846153846153845E-2</v>
      </c>
      <c r="K1603" s="102">
        <v>6130</v>
      </c>
      <c r="L1603" s="35" t="str">
        <f>IFERROR(_xlfn.XLOOKUP(Table6[[#This Row],[Error Code]],'Basic Data'!$AA:$AA,'Basic Data'!$AB:$AB),"Incorrect Error Code")</f>
        <v>Yaw speed high</v>
      </c>
      <c r="M1603" s="35" t="s">
        <v>291</v>
      </c>
      <c r="N1603" s="475"/>
      <c r="O1603" s="476">
        <v>0.5083333333333333</v>
      </c>
      <c r="P1603" s="476">
        <v>0.5083333333333333</v>
      </c>
      <c r="Q1603" s="477">
        <v>0.50972222222222219</v>
      </c>
      <c r="R1603" s="472">
        <f>IF(Table6[[#This Row],[Work Start TimeStamp]]="","",(Table6[[#This Row],[Work Start TimeStamp]]-Table6[[#This Row],[Fault Start TimeStamp]])*24)</f>
        <v>0</v>
      </c>
      <c r="S1603" s="472">
        <f>(Table6[[#This Row],[Fault Clearance time]]-Table6[[#This Row],[Work Start TimeStamp]])*24</f>
        <v>3.3333333333333215E-2</v>
      </c>
      <c r="T1603" s="472">
        <f>(Table6[[#This Row],[Fault Clearance time]]-Table6[[#This Row],[Fault Start TimeStamp]])*24</f>
        <v>3.3333333333333215E-2</v>
      </c>
      <c r="U1603" s="35" t="s">
        <v>1919</v>
      </c>
      <c r="V1603" s="102" t="s">
        <v>293</v>
      </c>
      <c r="W1603" s="549">
        <f>IFERROR(Table6[[#This Row],[Breakdown Time]]*Table6[[#This Row],[Plant Equivalent Weightage]],"")</f>
        <v>1.2820512820512771E-3</v>
      </c>
      <c r="X1603" s="473" t="s">
        <v>294</v>
      </c>
      <c r="Y1603" s="474" t="s">
        <v>80</v>
      </c>
      <c r="Z1603" s="102">
        <v>35706</v>
      </c>
      <c r="AA1603" s="468">
        <f>(Table6[[#This Row],[Paired WTG Generation for loss calculation]]/24)*Table6[[#This Row],[Breakdown Time]]</f>
        <v>49.591666666666491</v>
      </c>
      <c r="AB1603" s="102"/>
      <c r="AC1603" s="35"/>
      <c r="AD1603" s="35"/>
    </row>
    <row r="1604" spans="1:30">
      <c r="A1604" s="102">
        <f t="shared" si="25"/>
        <v>1603</v>
      </c>
      <c r="B1604" s="468">
        <f>YEAR(Table6[[#This Row],[Date]])+IF(MONTH(Table6[[#This Row],[Date]])&gt;=4,1,0)</f>
        <v>2026</v>
      </c>
      <c r="C1604" s="102">
        <f>YEAR(Table6[[#This Row],[Date]])</f>
        <v>2025</v>
      </c>
      <c r="D1604" s="102" t="s">
        <v>1986</v>
      </c>
      <c r="E1604" s="469">
        <f>Table6[[#This Row],[Date]]-DAY(Table6[[#This Row],[Date]])+1</f>
        <v>45839</v>
      </c>
      <c r="F1604" s="470">
        <v>45861</v>
      </c>
      <c r="G1604" s="35" t="s">
        <v>81</v>
      </c>
      <c r="H1604" s="35" t="str">
        <f>IFERROR(_xlfn.XLOOKUP(Table6[[#This Row],[Affected WTG]],'Basic Data'!$A:$A,'Basic Data'!$B:$B),"")</f>
        <v>TQGXIIPL</v>
      </c>
      <c r="I1604" s="35" t="str">
        <f>IFERROR(_xlfn.XLOOKUP(Table6[[#This Row],[Affected WTG]],'Basic Data'!$A:$A,'Basic Data'!$C:$C),"")</f>
        <v>GEDA</v>
      </c>
      <c r="J1604" s="471">
        <f>IFERROR(_xlfn.XLOOKUP(Table6[[#This Row],[Affected WTG]],'Basic Data'!$A:$A,'Basic Data'!$E:$E),"")</f>
        <v>3.846153846153845E-2</v>
      </c>
      <c r="K1604" s="102">
        <v>6605</v>
      </c>
      <c r="L1604" s="35" t="str">
        <f>IFERROR(_xlfn.XLOOKUP(Table6[[#This Row],[Error Code]],'Basic Data'!$AA:$AA,'Basic Data'!$AB:$AB),"Incorrect Error Code")</f>
        <v>Wind.dir. diff. level 2</v>
      </c>
      <c r="M1604" s="35" t="s">
        <v>291</v>
      </c>
      <c r="N1604" s="475"/>
      <c r="O1604" s="476">
        <v>0.59652777777777777</v>
      </c>
      <c r="P1604" s="476">
        <v>0.59652777777777777</v>
      </c>
      <c r="Q1604" s="477">
        <v>0.59722222222222221</v>
      </c>
      <c r="R1604" s="472">
        <f>IF(Table6[[#This Row],[Work Start TimeStamp]]="","",(Table6[[#This Row],[Work Start TimeStamp]]-Table6[[#This Row],[Fault Start TimeStamp]])*24)</f>
        <v>0</v>
      </c>
      <c r="S1604" s="472">
        <f>(Table6[[#This Row],[Fault Clearance time]]-Table6[[#This Row],[Work Start TimeStamp]])*24</f>
        <v>1.6666666666666607E-2</v>
      </c>
      <c r="T1604" s="472">
        <f>(Table6[[#This Row],[Fault Clearance time]]-Table6[[#This Row],[Fault Start TimeStamp]])*24</f>
        <v>1.6666666666666607E-2</v>
      </c>
      <c r="U1604" s="35" t="s">
        <v>1919</v>
      </c>
      <c r="V1604" s="102" t="s">
        <v>293</v>
      </c>
      <c r="W1604" s="549">
        <f>IFERROR(Table6[[#This Row],[Breakdown Time]]*Table6[[#This Row],[Plant Equivalent Weightage]],"")</f>
        <v>6.4102564102563853E-4</v>
      </c>
      <c r="X1604" s="473" t="s">
        <v>294</v>
      </c>
      <c r="Y1604" s="474" t="s">
        <v>99</v>
      </c>
      <c r="Z1604" s="102">
        <v>37365</v>
      </c>
      <c r="AA1604" s="468">
        <f>(Table6[[#This Row],[Paired WTG Generation for loss calculation]]/24)*Table6[[#This Row],[Breakdown Time]]</f>
        <v>25.947916666666575</v>
      </c>
      <c r="AB1604" s="102"/>
      <c r="AC1604" s="35"/>
      <c r="AD1604" s="35"/>
    </row>
    <row r="1605" spans="1:30">
      <c r="A1605" s="102">
        <f t="shared" si="25"/>
        <v>1604</v>
      </c>
      <c r="B1605" s="468">
        <f>YEAR(Table6[[#This Row],[Date]])+IF(MONTH(Table6[[#This Row],[Date]])&gt;=4,1,0)</f>
        <v>2026</v>
      </c>
      <c r="C1605" s="102">
        <f>YEAR(Table6[[#This Row],[Date]])</f>
        <v>2025</v>
      </c>
      <c r="D1605" s="102" t="s">
        <v>1986</v>
      </c>
      <c r="E1605" s="469">
        <f>Table6[[#This Row],[Date]]-DAY(Table6[[#This Row],[Date]])+1</f>
        <v>45839</v>
      </c>
      <c r="F1605" s="470">
        <v>45861</v>
      </c>
      <c r="G1605" s="35" t="s">
        <v>90</v>
      </c>
      <c r="H1605" s="35" t="str">
        <f>IFERROR(_xlfn.XLOOKUP(Table6[[#This Row],[Affected WTG]],'Basic Data'!$A:$A,'Basic Data'!$B:$B),"")</f>
        <v>TQGXIIPL</v>
      </c>
      <c r="I1605" s="35" t="str">
        <f>IFERROR(_xlfn.XLOOKUP(Table6[[#This Row],[Affected WTG]],'Basic Data'!$A:$A,'Basic Data'!$C:$C),"")</f>
        <v>GEDA</v>
      </c>
      <c r="J1605" s="471">
        <f>IFERROR(_xlfn.XLOOKUP(Table6[[#This Row],[Affected WTG]],'Basic Data'!$A:$A,'Basic Data'!$E:$E),"")</f>
        <v>3.846153846153845E-2</v>
      </c>
      <c r="K1605" s="102">
        <v>55</v>
      </c>
      <c r="L1605" s="35" t="str">
        <f>IFERROR(_xlfn.XLOOKUP(Table6[[#This Row],[Error Code]],'Basic Data'!$AA:$AA,'Basic Data'!$AB:$AB),"Incorrect Error Code")</f>
        <v>WTG shut down</v>
      </c>
      <c r="M1605" s="35" t="s">
        <v>291</v>
      </c>
      <c r="N1605" s="475"/>
      <c r="O1605" s="476">
        <v>0</v>
      </c>
      <c r="P1605" s="476">
        <v>0</v>
      </c>
      <c r="Q1605" s="477">
        <v>2.0833333333333332E-2</v>
      </c>
      <c r="R1605" s="472">
        <f>IF(Table6[[#This Row],[Work Start TimeStamp]]="","",(Table6[[#This Row],[Work Start TimeStamp]]-Table6[[#This Row],[Fault Start TimeStamp]])*24)</f>
        <v>0</v>
      </c>
      <c r="S1605" s="472">
        <f>(Table6[[#This Row],[Fault Clearance time]]-Table6[[#This Row],[Work Start TimeStamp]])*24</f>
        <v>0.5</v>
      </c>
      <c r="T1605" s="472">
        <f>(Table6[[#This Row],[Fault Clearance time]]-Table6[[#This Row],[Fault Start TimeStamp]])*24</f>
        <v>0.5</v>
      </c>
      <c r="U1605" s="35" t="s">
        <v>2105</v>
      </c>
      <c r="V1605" s="102" t="s">
        <v>293</v>
      </c>
      <c r="W1605" s="549">
        <f>IFERROR(Table6[[#This Row],[Breakdown Time]]*Table6[[#This Row],[Plant Equivalent Weightage]],"")</f>
        <v>1.9230769230769225E-2</v>
      </c>
      <c r="X1605" s="473" t="s">
        <v>290</v>
      </c>
      <c r="Y1605" s="474" t="s">
        <v>95</v>
      </c>
      <c r="Z1605" s="102">
        <v>33354</v>
      </c>
      <c r="AA1605" s="468">
        <f>(Table6[[#This Row],[Paired WTG Generation for loss calculation]]/24)*Table6[[#This Row],[Breakdown Time]]</f>
        <v>694.875</v>
      </c>
      <c r="AB1605" s="102"/>
      <c r="AC1605" s="35"/>
      <c r="AD1605" s="35"/>
    </row>
    <row r="1606" spans="1:30">
      <c r="A1606" s="102">
        <f t="shared" si="25"/>
        <v>1605</v>
      </c>
      <c r="B1606" s="468">
        <f>YEAR(Table6[[#This Row],[Date]])+IF(MONTH(Table6[[#This Row],[Date]])&gt;=4,1,0)</f>
        <v>2026</v>
      </c>
      <c r="C1606" s="102">
        <f>YEAR(Table6[[#This Row],[Date]])</f>
        <v>2025</v>
      </c>
      <c r="D1606" s="102" t="s">
        <v>1986</v>
      </c>
      <c r="E1606" s="469">
        <f>Table6[[#This Row],[Date]]-DAY(Table6[[#This Row],[Date]])+1</f>
        <v>45839</v>
      </c>
      <c r="F1606" s="470">
        <v>45861</v>
      </c>
      <c r="G1606" s="35" t="s">
        <v>90</v>
      </c>
      <c r="H1606" s="35" t="str">
        <f>IFERROR(_xlfn.XLOOKUP(Table6[[#This Row],[Affected WTG]],'Basic Data'!$A:$A,'Basic Data'!$B:$B),"")</f>
        <v>TQGXIIPL</v>
      </c>
      <c r="I1606" s="35" t="str">
        <f>IFERROR(_xlfn.XLOOKUP(Table6[[#This Row],[Affected WTG]],'Basic Data'!$A:$A,'Basic Data'!$C:$C),"")</f>
        <v>GEDA</v>
      </c>
      <c r="J1606" s="471">
        <f>IFERROR(_xlfn.XLOOKUP(Table6[[#This Row],[Affected WTG]],'Basic Data'!$A:$A,'Basic Data'!$E:$E),"")</f>
        <v>3.846153846153845E-2</v>
      </c>
      <c r="K1606" s="102">
        <v>55</v>
      </c>
      <c r="L1606" s="35" t="str">
        <f>IFERROR(_xlfn.XLOOKUP(Table6[[#This Row],[Error Code]],'Basic Data'!$AA:$AA,'Basic Data'!$AB:$AB),"Incorrect Error Code")</f>
        <v>WTG shut down</v>
      </c>
      <c r="M1606" s="35" t="s">
        <v>291</v>
      </c>
      <c r="N1606" s="475"/>
      <c r="O1606" s="476">
        <v>3.8194444444444448E-2</v>
      </c>
      <c r="P1606" s="476">
        <v>3.8194444444444448E-2</v>
      </c>
      <c r="Q1606" s="477">
        <v>6.3888888888888884E-2</v>
      </c>
      <c r="R1606" s="472">
        <f>IF(Table6[[#This Row],[Work Start TimeStamp]]="","",(Table6[[#This Row],[Work Start TimeStamp]]-Table6[[#This Row],[Fault Start TimeStamp]])*24)</f>
        <v>0</v>
      </c>
      <c r="S1606" s="472">
        <f>(Table6[[#This Row],[Fault Clearance time]]-Table6[[#This Row],[Work Start TimeStamp]])*24</f>
        <v>0.61666666666666647</v>
      </c>
      <c r="T1606" s="472">
        <f>(Table6[[#This Row],[Fault Clearance time]]-Table6[[#This Row],[Fault Start TimeStamp]])*24</f>
        <v>0.61666666666666647</v>
      </c>
      <c r="U1606" s="35" t="s">
        <v>2106</v>
      </c>
      <c r="V1606" s="102" t="s">
        <v>293</v>
      </c>
      <c r="W1606" s="549">
        <f>IFERROR(Table6[[#This Row],[Breakdown Time]]*Table6[[#This Row],[Plant Equivalent Weightage]],"")</f>
        <v>2.3717948717948703E-2</v>
      </c>
      <c r="X1606" s="473" t="s">
        <v>290</v>
      </c>
      <c r="Y1606" s="474" t="s">
        <v>95</v>
      </c>
      <c r="Z1606" s="102">
        <v>33354</v>
      </c>
      <c r="AA1606" s="468">
        <f>(Table6[[#This Row],[Paired WTG Generation for loss calculation]]/24)*Table6[[#This Row],[Breakdown Time]]</f>
        <v>857.0124999999997</v>
      </c>
      <c r="AB1606" s="102"/>
      <c r="AC1606" s="35"/>
      <c r="AD1606" s="35"/>
    </row>
    <row r="1607" spans="1:30">
      <c r="A1607" s="102">
        <f t="shared" si="25"/>
        <v>1606</v>
      </c>
      <c r="B1607" s="468">
        <f>YEAR(Table6[[#This Row],[Date]])+IF(MONTH(Table6[[#This Row],[Date]])&gt;=4,1,0)</f>
        <v>2026</v>
      </c>
      <c r="C1607" s="102">
        <f>YEAR(Table6[[#This Row],[Date]])</f>
        <v>2025</v>
      </c>
      <c r="D1607" s="102" t="s">
        <v>1986</v>
      </c>
      <c r="E1607" s="469">
        <f>Table6[[#This Row],[Date]]-DAY(Table6[[#This Row],[Date]])+1</f>
        <v>45839</v>
      </c>
      <c r="F1607" s="470">
        <v>45862</v>
      </c>
      <c r="G1607" s="35" t="s">
        <v>93</v>
      </c>
      <c r="H1607" s="35" t="str">
        <f>IFERROR(_xlfn.XLOOKUP(Table6[[#This Row],[Affected WTG]],'Basic Data'!$A:$A,'Basic Data'!$B:$B),"")</f>
        <v>TQGXIIPL</v>
      </c>
      <c r="I1607" s="35" t="str">
        <f>IFERROR(_xlfn.XLOOKUP(Table6[[#This Row],[Affected WTG]],'Basic Data'!$A:$A,'Basic Data'!$C:$C),"")</f>
        <v>GEDA</v>
      </c>
      <c r="J1607" s="471">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295</v>
      </c>
      <c r="N1607" s="475"/>
      <c r="O1607" s="476">
        <v>4.8611111111111112E-2</v>
      </c>
      <c r="P1607" s="476">
        <v>7.9861111111111105E-2</v>
      </c>
      <c r="Q1607" s="477">
        <v>0.58680555555555558</v>
      </c>
      <c r="R1607" s="472">
        <f>IF(Table6[[#This Row],[Work Start TimeStamp]]="","",(Table6[[#This Row],[Work Start TimeStamp]]-Table6[[#This Row],[Fault Start TimeStamp]])*24)</f>
        <v>0.74999999999999978</v>
      </c>
      <c r="S1607" s="472">
        <f>(Table6[[#This Row],[Fault Clearance time]]-Table6[[#This Row],[Work Start TimeStamp]])*24</f>
        <v>12.166666666666666</v>
      </c>
      <c r="T1607" s="472">
        <f>(Table6[[#This Row],[Fault Clearance time]]-Table6[[#This Row],[Fault Start TimeStamp]])*24</f>
        <v>12.916666666666666</v>
      </c>
      <c r="U1607" s="35" t="s">
        <v>2107</v>
      </c>
      <c r="V1607" s="102" t="s">
        <v>293</v>
      </c>
      <c r="W1607" s="549">
        <f>IFERROR(Table6[[#This Row],[Breakdown Time]]*Table6[[#This Row],[Plant Equivalent Weightage]],"")</f>
        <v>0.49679487179487164</v>
      </c>
      <c r="X1607" s="473" t="s">
        <v>290</v>
      </c>
      <c r="Y1607" s="474" t="s">
        <v>97</v>
      </c>
      <c r="Z1607" s="102">
        <v>16710</v>
      </c>
      <c r="AA1607" s="468">
        <f>(Table6[[#This Row],[Paired WTG Generation for loss calculation]]/24)*Table6[[#This Row],[Breakdown Time]]</f>
        <v>8993.2291666666661</v>
      </c>
      <c r="AB1607" s="102"/>
      <c r="AC1607" s="35"/>
      <c r="AD1607" s="35"/>
    </row>
    <row r="1608" spans="1:30">
      <c r="A1608" s="102">
        <f t="shared" si="25"/>
        <v>1607</v>
      </c>
      <c r="B1608" s="468">
        <f>YEAR(Table6[[#This Row],[Date]])+IF(MONTH(Table6[[#This Row],[Date]])&gt;=4,1,0)</f>
        <v>2026</v>
      </c>
      <c r="C1608" s="102">
        <f>YEAR(Table6[[#This Row],[Date]])</f>
        <v>2025</v>
      </c>
      <c r="D1608" s="102" t="s">
        <v>1986</v>
      </c>
      <c r="E1608" s="469">
        <f>Table6[[#This Row],[Date]]-DAY(Table6[[#This Row],[Date]])+1</f>
        <v>45839</v>
      </c>
      <c r="F1608" s="470">
        <v>45863</v>
      </c>
      <c r="G1608" s="35" t="s">
        <v>74</v>
      </c>
      <c r="H1608" s="35" t="str">
        <f>IFERROR(_xlfn.XLOOKUP(Table6[[#This Row],[Affected WTG]],'Basic Data'!$A:$A,'Basic Data'!$B:$B),"")</f>
        <v>TQGXIIPL</v>
      </c>
      <c r="I1608" s="35" t="str">
        <f>IFERROR(_xlfn.XLOOKUP(Table6[[#This Row],[Affected WTG]],'Basic Data'!$A:$A,'Basic Data'!$C:$C),"")</f>
        <v>GEDA</v>
      </c>
      <c r="J1608" s="471">
        <f>IFERROR(_xlfn.XLOOKUP(Table6[[#This Row],[Affected WTG]],'Basic Data'!$A:$A,'Basic Data'!$E:$E),"")</f>
        <v>3.846153846153845E-2</v>
      </c>
      <c r="K1608" s="102">
        <v>55</v>
      </c>
      <c r="L1608" s="35" t="str">
        <f>IFERROR(_xlfn.XLOOKUP(Table6[[#This Row],[Error Code]],'Basic Data'!$AA:$AA,'Basic Data'!$AB:$AB),"Incorrect Error Code")</f>
        <v>WTG shut down</v>
      </c>
      <c r="M1608" s="35" t="s">
        <v>291</v>
      </c>
      <c r="N1608" s="475"/>
      <c r="O1608" s="476">
        <v>0.56458333333333333</v>
      </c>
      <c r="P1608" s="476">
        <v>0.56458333333333333</v>
      </c>
      <c r="Q1608" s="477">
        <v>0.56944444444444442</v>
      </c>
      <c r="R1608" s="472">
        <f>IF(Table6[[#This Row],[Work Start TimeStamp]]="","",(Table6[[#This Row],[Work Start TimeStamp]]-Table6[[#This Row],[Fault Start TimeStamp]])*24)</f>
        <v>0</v>
      </c>
      <c r="S1608" s="472">
        <f>(Table6[[#This Row],[Fault Clearance time]]-Table6[[#This Row],[Work Start TimeStamp]])*24</f>
        <v>0.11666666666666625</v>
      </c>
      <c r="T1608" s="472">
        <f>(Table6[[#This Row],[Fault Clearance time]]-Table6[[#This Row],[Fault Start TimeStamp]])*24</f>
        <v>0.11666666666666625</v>
      </c>
      <c r="U1608" s="35" t="s">
        <v>2108</v>
      </c>
      <c r="V1608" s="102" t="s">
        <v>293</v>
      </c>
      <c r="W1608" s="549">
        <f>IFERROR(Table6[[#This Row],[Breakdown Time]]*Table6[[#This Row],[Plant Equivalent Weightage]],"")</f>
        <v>4.4871794871794695E-3</v>
      </c>
      <c r="X1608" s="473" t="s">
        <v>290</v>
      </c>
      <c r="Y1608" s="474" t="s">
        <v>99</v>
      </c>
      <c r="Z1608" s="102">
        <v>13413</v>
      </c>
      <c r="AA1608" s="468">
        <f>(Table6[[#This Row],[Paired WTG Generation for loss calculation]]/24)*Table6[[#This Row],[Breakdown Time]]</f>
        <v>65.202083333333107</v>
      </c>
      <c r="AB1608" s="102"/>
      <c r="AC1608" s="35"/>
      <c r="AD1608" s="35"/>
    </row>
    <row r="1609" spans="1:30">
      <c r="A1609" s="102">
        <f t="shared" si="25"/>
        <v>1608</v>
      </c>
      <c r="B1609" s="468">
        <f>YEAR(Table6[[#This Row],[Date]])+IF(MONTH(Table6[[#This Row],[Date]])&gt;=4,1,0)</f>
        <v>2026</v>
      </c>
      <c r="C1609" s="102">
        <f>YEAR(Table6[[#This Row],[Date]])</f>
        <v>2025</v>
      </c>
      <c r="D1609" s="102" t="s">
        <v>1986</v>
      </c>
      <c r="E1609" s="469">
        <f>Table6[[#This Row],[Date]]-DAY(Table6[[#This Row],[Date]])+1</f>
        <v>45839</v>
      </c>
      <c r="F1609" s="470">
        <v>45863</v>
      </c>
      <c r="G1609" s="35" t="s">
        <v>75</v>
      </c>
      <c r="H1609" s="35" t="str">
        <f>IFERROR(_xlfn.XLOOKUP(Table6[[#This Row],[Affected WTG]],'Basic Data'!$A:$A,'Basic Data'!$B:$B),"")</f>
        <v>TQGXIIPL</v>
      </c>
      <c r="I1609" s="35" t="str">
        <f>IFERROR(_xlfn.XLOOKUP(Table6[[#This Row],[Affected WTG]],'Basic Data'!$A:$A,'Basic Data'!$C:$C),"")</f>
        <v>GEDA</v>
      </c>
      <c r="J1609" s="471">
        <f>IFERROR(_xlfn.XLOOKUP(Table6[[#This Row],[Affected WTG]],'Basic Data'!$A:$A,'Basic Data'!$E:$E),"")</f>
        <v>3.846153846153845E-2</v>
      </c>
      <c r="K1609" s="102">
        <v>55</v>
      </c>
      <c r="L1609" s="35" t="str">
        <f>IFERROR(_xlfn.XLOOKUP(Table6[[#This Row],[Error Code]],'Basic Data'!$AA:$AA,'Basic Data'!$AB:$AB),"Incorrect Error Code")</f>
        <v>WTG shut down</v>
      </c>
      <c r="M1609" s="35" t="s">
        <v>291</v>
      </c>
      <c r="N1609" s="475"/>
      <c r="O1609" s="476">
        <v>0.47986111111111113</v>
      </c>
      <c r="P1609" s="476">
        <v>0.47986111111111113</v>
      </c>
      <c r="Q1609" s="477">
        <v>0.48333333333333334</v>
      </c>
      <c r="R1609" s="472">
        <f>IF(Table6[[#This Row],[Work Start TimeStamp]]="","",(Table6[[#This Row],[Work Start TimeStamp]]-Table6[[#This Row],[Fault Start TimeStamp]])*24)</f>
        <v>0</v>
      </c>
      <c r="S1609" s="472">
        <f>(Table6[[#This Row],[Fault Clearance time]]-Table6[[#This Row],[Work Start TimeStamp]])*24</f>
        <v>8.3333333333333037E-2</v>
      </c>
      <c r="T1609" s="472">
        <f>(Table6[[#This Row],[Fault Clearance time]]-Table6[[#This Row],[Fault Start TimeStamp]])*24</f>
        <v>8.3333333333333037E-2</v>
      </c>
      <c r="U1609" s="35" t="s">
        <v>2108</v>
      </c>
      <c r="V1609" s="102" t="s">
        <v>293</v>
      </c>
      <c r="W1609" s="549">
        <f>IFERROR(Table6[[#This Row],[Breakdown Time]]*Table6[[#This Row],[Plant Equivalent Weightage]],"")</f>
        <v>3.2051282051281929E-3</v>
      </c>
      <c r="X1609" s="473" t="s">
        <v>290</v>
      </c>
      <c r="Y1609" s="474" t="s">
        <v>78</v>
      </c>
      <c r="Z1609" s="102">
        <v>15744</v>
      </c>
      <c r="AA1609" s="468">
        <f>(Table6[[#This Row],[Paired WTG Generation for loss calculation]]/24)*Table6[[#This Row],[Breakdown Time]]</f>
        <v>54.666666666666472</v>
      </c>
      <c r="AB1609" s="102"/>
      <c r="AC1609" s="35"/>
      <c r="AD1609" s="35"/>
    </row>
    <row r="1610" spans="1:30">
      <c r="A1610" s="102">
        <f t="shared" si="25"/>
        <v>1609</v>
      </c>
      <c r="B1610" s="468">
        <f>YEAR(Table6[[#This Row],[Date]])+IF(MONTH(Table6[[#This Row],[Date]])&gt;=4,1,0)</f>
        <v>2026</v>
      </c>
      <c r="C1610" s="102">
        <f>YEAR(Table6[[#This Row],[Date]])</f>
        <v>2025</v>
      </c>
      <c r="D1610" s="102" t="s">
        <v>1986</v>
      </c>
      <c r="E1610" s="469">
        <f>Table6[[#This Row],[Date]]-DAY(Table6[[#This Row],[Date]])+1</f>
        <v>45839</v>
      </c>
      <c r="F1610" s="470">
        <v>45863</v>
      </c>
      <c r="G1610" s="35" t="s">
        <v>76</v>
      </c>
      <c r="H1610" s="35" t="str">
        <f>IFERROR(_xlfn.XLOOKUP(Table6[[#This Row],[Affected WTG]],'Basic Data'!$A:$A,'Basic Data'!$B:$B),"")</f>
        <v>TQGXIIPL</v>
      </c>
      <c r="I1610" s="35" t="str">
        <f>IFERROR(_xlfn.XLOOKUP(Table6[[#This Row],[Affected WTG]],'Basic Data'!$A:$A,'Basic Data'!$C:$C),"")</f>
        <v>GEDA</v>
      </c>
      <c r="J1610" s="471">
        <f>IFERROR(_xlfn.XLOOKUP(Table6[[#This Row],[Affected WTG]],'Basic Data'!$A:$A,'Basic Data'!$E:$E),"")</f>
        <v>3.846153846153845E-2</v>
      </c>
      <c r="K1610" s="102">
        <v>55</v>
      </c>
      <c r="L1610" s="35" t="str">
        <f>IFERROR(_xlfn.XLOOKUP(Table6[[#This Row],[Error Code]],'Basic Data'!$AA:$AA,'Basic Data'!$AB:$AB),"Incorrect Error Code")</f>
        <v>WTG shut down</v>
      </c>
      <c r="M1610" s="35" t="s">
        <v>291</v>
      </c>
      <c r="N1610" s="475"/>
      <c r="O1610" s="476">
        <v>0.48194444444444445</v>
      </c>
      <c r="P1610" s="476">
        <v>0.48194444444444445</v>
      </c>
      <c r="Q1610" s="477">
        <v>0.48541666666666666</v>
      </c>
      <c r="R1610" s="472">
        <f>IF(Table6[[#This Row],[Work Start TimeStamp]]="","",(Table6[[#This Row],[Work Start TimeStamp]]-Table6[[#This Row],[Fault Start TimeStamp]])*24)</f>
        <v>0</v>
      </c>
      <c r="S1610" s="472">
        <f>(Table6[[#This Row],[Fault Clearance time]]-Table6[[#This Row],[Work Start TimeStamp]])*24</f>
        <v>8.3333333333333037E-2</v>
      </c>
      <c r="T1610" s="472">
        <f>(Table6[[#This Row],[Fault Clearance time]]-Table6[[#This Row],[Fault Start TimeStamp]])*24</f>
        <v>8.3333333333333037E-2</v>
      </c>
      <c r="U1610" s="35" t="s">
        <v>2108</v>
      </c>
      <c r="V1610" s="102" t="s">
        <v>293</v>
      </c>
      <c r="W1610" s="549">
        <f>IFERROR(Table6[[#This Row],[Breakdown Time]]*Table6[[#This Row],[Plant Equivalent Weightage]],"")</f>
        <v>3.2051282051281929E-3</v>
      </c>
      <c r="X1610" s="473" t="s">
        <v>290</v>
      </c>
      <c r="Y1610" s="474" t="s">
        <v>82</v>
      </c>
      <c r="Z1610" s="102">
        <v>11688</v>
      </c>
      <c r="AA1610" s="468">
        <f>(Table6[[#This Row],[Paired WTG Generation for loss calculation]]/24)*Table6[[#This Row],[Breakdown Time]]</f>
        <v>40.583333333333186</v>
      </c>
      <c r="AB1610" s="102"/>
      <c r="AC1610" s="35"/>
      <c r="AD1610" s="35"/>
    </row>
    <row r="1611" spans="1:30">
      <c r="A1611" s="102">
        <f t="shared" si="25"/>
        <v>1610</v>
      </c>
      <c r="B1611" s="468">
        <f>YEAR(Table6[[#This Row],[Date]])+IF(MONTH(Table6[[#This Row],[Date]])&gt;=4,1,0)</f>
        <v>2026</v>
      </c>
      <c r="C1611" s="102">
        <f>YEAR(Table6[[#This Row],[Date]])</f>
        <v>2025</v>
      </c>
      <c r="D1611" s="102" t="s">
        <v>1986</v>
      </c>
      <c r="E1611" s="469">
        <f>Table6[[#This Row],[Date]]-DAY(Table6[[#This Row],[Date]])+1</f>
        <v>45839</v>
      </c>
      <c r="F1611" s="470">
        <v>45863</v>
      </c>
      <c r="G1611" s="35" t="s">
        <v>79</v>
      </c>
      <c r="H1611" s="35" t="str">
        <f>IFERROR(_xlfn.XLOOKUP(Table6[[#This Row],[Affected WTG]],'Basic Data'!$A:$A,'Basic Data'!$B:$B),"")</f>
        <v>TQGXIIPL</v>
      </c>
      <c r="I1611" s="35" t="str">
        <f>IFERROR(_xlfn.XLOOKUP(Table6[[#This Row],[Affected WTG]],'Basic Data'!$A:$A,'Basic Data'!$C:$C),"")</f>
        <v>GEDA</v>
      </c>
      <c r="J1611" s="471">
        <f>IFERROR(_xlfn.XLOOKUP(Table6[[#This Row],[Affected WTG]],'Basic Data'!$A:$A,'Basic Data'!$E:$E),"")</f>
        <v>3.846153846153845E-2</v>
      </c>
      <c r="K1611" s="102">
        <v>55</v>
      </c>
      <c r="L1611" s="35" t="str">
        <f>IFERROR(_xlfn.XLOOKUP(Table6[[#This Row],[Error Code]],'Basic Data'!$AA:$AA,'Basic Data'!$AB:$AB),"Incorrect Error Code")</f>
        <v>WTG shut down</v>
      </c>
      <c r="M1611" s="35" t="s">
        <v>291</v>
      </c>
      <c r="N1611" s="475"/>
      <c r="O1611" s="476">
        <v>0.51875000000000004</v>
      </c>
      <c r="P1611" s="476">
        <v>0.51875000000000004</v>
      </c>
      <c r="Q1611" s="477">
        <v>0.52361111111111114</v>
      </c>
      <c r="R1611" s="472">
        <f>IF(Table6[[#This Row],[Work Start TimeStamp]]="","",(Table6[[#This Row],[Work Start TimeStamp]]-Table6[[#This Row],[Fault Start TimeStamp]])*24)</f>
        <v>0</v>
      </c>
      <c r="S1611" s="472">
        <f>(Table6[[#This Row],[Fault Clearance time]]-Table6[[#This Row],[Work Start TimeStamp]])*24</f>
        <v>0.11666666666666625</v>
      </c>
      <c r="T1611" s="472">
        <f>(Table6[[#This Row],[Fault Clearance time]]-Table6[[#This Row],[Fault Start TimeStamp]])*24</f>
        <v>0.11666666666666625</v>
      </c>
      <c r="U1611" s="35" t="s">
        <v>2108</v>
      </c>
      <c r="V1611" s="102" t="s">
        <v>293</v>
      </c>
      <c r="W1611" s="549">
        <f>IFERROR(Table6[[#This Row],[Breakdown Time]]*Table6[[#This Row],[Plant Equivalent Weightage]],"")</f>
        <v>4.4871794871794695E-3</v>
      </c>
      <c r="X1611" s="473" t="s">
        <v>290</v>
      </c>
      <c r="Y1611" s="474" t="s">
        <v>94</v>
      </c>
      <c r="Z1611" s="102">
        <v>17684</v>
      </c>
      <c r="AA1611" s="468">
        <f>(Table6[[#This Row],[Paired WTG Generation for loss calculation]]/24)*Table6[[#This Row],[Breakdown Time]]</f>
        <v>85.96388888888859</v>
      </c>
      <c r="AB1611" s="102"/>
      <c r="AC1611" s="35"/>
      <c r="AD1611" s="35"/>
    </row>
    <row r="1612" spans="1:30">
      <c r="A1612" s="102">
        <f t="shared" si="25"/>
        <v>1611</v>
      </c>
      <c r="B1612" s="468">
        <f>YEAR(Table6[[#This Row],[Date]])+IF(MONTH(Table6[[#This Row],[Date]])&gt;=4,1,0)</f>
        <v>2026</v>
      </c>
      <c r="C1612" s="102">
        <f>YEAR(Table6[[#This Row],[Date]])</f>
        <v>2025</v>
      </c>
      <c r="D1612" s="102" t="s">
        <v>1986</v>
      </c>
      <c r="E1612" s="469">
        <f>Table6[[#This Row],[Date]]-DAY(Table6[[#This Row],[Date]])+1</f>
        <v>45839</v>
      </c>
      <c r="F1612" s="470">
        <v>45863</v>
      </c>
      <c r="G1612" s="35" t="s">
        <v>80</v>
      </c>
      <c r="H1612" s="35" t="str">
        <f>IFERROR(_xlfn.XLOOKUP(Table6[[#This Row],[Affected WTG]],'Basic Data'!$A:$A,'Basic Data'!$B:$B),"")</f>
        <v>TQGXIIPL</v>
      </c>
      <c r="I1612" s="35" t="str">
        <f>IFERROR(_xlfn.XLOOKUP(Table6[[#This Row],[Affected WTG]],'Basic Data'!$A:$A,'Basic Data'!$C:$C),"")</f>
        <v>GEDA</v>
      </c>
      <c r="J1612" s="471">
        <f>IFERROR(_xlfn.XLOOKUP(Table6[[#This Row],[Affected WTG]],'Basic Data'!$A:$A,'Basic Data'!$E:$E),"")</f>
        <v>3.846153846153845E-2</v>
      </c>
      <c r="K1612" s="102">
        <v>55</v>
      </c>
      <c r="L1612" s="35" t="str">
        <f>IFERROR(_xlfn.XLOOKUP(Table6[[#This Row],[Error Code]],'Basic Data'!$AA:$AA,'Basic Data'!$AB:$AB),"Incorrect Error Code")</f>
        <v>WTG shut down</v>
      </c>
      <c r="M1612" s="35" t="s">
        <v>291</v>
      </c>
      <c r="N1612" s="475"/>
      <c r="O1612" s="476">
        <v>0.42777777777777776</v>
      </c>
      <c r="P1612" s="476">
        <v>0.42777777777777776</v>
      </c>
      <c r="Q1612" s="477">
        <v>0.43055555555555558</v>
      </c>
      <c r="R1612" s="472">
        <f>IF(Table6[[#This Row],[Work Start TimeStamp]]="","",(Table6[[#This Row],[Work Start TimeStamp]]-Table6[[#This Row],[Fault Start TimeStamp]])*24)</f>
        <v>0</v>
      </c>
      <c r="S1612" s="472">
        <f>(Table6[[#This Row],[Fault Clearance time]]-Table6[[#This Row],[Work Start TimeStamp]])*24</f>
        <v>6.6666666666667762E-2</v>
      </c>
      <c r="T1612" s="472">
        <f>(Table6[[#This Row],[Fault Clearance time]]-Table6[[#This Row],[Fault Start TimeStamp]])*24</f>
        <v>6.6666666666667762E-2</v>
      </c>
      <c r="U1612" s="35" t="s">
        <v>2108</v>
      </c>
      <c r="V1612" s="102" t="s">
        <v>293</v>
      </c>
      <c r="W1612" s="549">
        <f>IFERROR(Table6[[#This Row],[Breakdown Time]]*Table6[[#This Row],[Plant Equivalent Weightage]],"")</f>
        <v>2.5641025641026053E-3</v>
      </c>
      <c r="X1612" s="473" t="s">
        <v>290</v>
      </c>
      <c r="Y1612" s="474" t="s">
        <v>77</v>
      </c>
      <c r="Z1612" s="102">
        <v>15084</v>
      </c>
      <c r="AA1612" s="468">
        <f>(Table6[[#This Row],[Paired WTG Generation for loss calculation]]/24)*Table6[[#This Row],[Breakdown Time]]</f>
        <v>41.900000000000688</v>
      </c>
      <c r="AB1612" s="102"/>
      <c r="AC1612" s="35"/>
      <c r="AD1612" s="35"/>
    </row>
    <row r="1613" spans="1:30">
      <c r="A1613" s="102">
        <f t="shared" si="25"/>
        <v>1612</v>
      </c>
      <c r="B1613" s="468">
        <f>YEAR(Table6[[#This Row],[Date]])+IF(MONTH(Table6[[#This Row],[Date]])&gt;=4,1,0)</f>
        <v>2026</v>
      </c>
      <c r="C1613" s="102">
        <f>YEAR(Table6[[#This Row],[Date]])</f>
        <v>2025</v>
      </c>
      <c r="D1613" s="102" t="s">
        <v>1986</v>
      </c>
      <c r="E1613" s="469">
        <f>Table6[[#This Row],[Date]]-DAY(Table6[[#This Row],[Date]])+1</f>
        <v>45839</v>
      </c>
      <c r="F1613" s="470">
        <v>45863</v>
      </c>
      <c r="G1613" s="35" t="s">
        <v>81</v>
      </c>
      <c r="H1613" s="35" t="str">
        <f>IFERROR(_xlfn.XLOOKUP(Table6[[#This Row],[Affected WTG]],'Basic Data'!$A:$A,'Basic Data'!$B:$B),"")</f>
        <v>TQGXIIPL</v>
      </c>
      <c r="I1613" s="35" t="str">
        <f>IFERROR(_xlfn.XLOOKUP(Table6[[#This Row],[Affected WTG]],'Basic Data'!$A:$A,'Basic Data'!$C:$C),"")</f>
        <v>GEDA</v>
      </c>
      <c r="J1613" s="471">
        <f>IFERROR(_xlfn.XLOOKUP(Table6[[#This Row],[Affected WTG]],'Basic Data'!$A:$A,'Basic Data'!$E:$E),"")</f>
        <v>3.846153846153845E-2</v>
      </c>
      <c r="K1613" s="102">
        <v>55</v>
      </c>
      <c r="L1613" s="35" t="str">
        <f>IFERROR(_xlfn.XLOOKUP(Table6[[#This Row],[Error Code]],'Basic Data'!$AA:$AA,'Basic Data'!$AB:$AB),"Incorrect Error Code")</f>
        <v>WTG shut down</v>
      </c>
      <c r="M1613" s="35" t="s">
        <v>291</v>
      </c>
      <c r="N1613" s="475"/>
      <c r="O1613" s="476">
        <v>0.55138888888888893</v>
      </c>
      <c r="P1613" s="476">
        <v>0.55138888888888893</v>
      </c>
      <c r="Q1613" s="477">
        <v>0.55486111111111114</v>
      </c>
      <c r="R1613" s="472">
        <f>IF(Table6[[#This Row],[Work Start TimeStamp]]="","",(Table6[[#This Row],[Work Start TimeStamp]]-Table6[[#This Row],[Fault Start TimeStamp]])*24)</f>
        <v>0</v>
      </c>
      <c r="S1613" s="472">
        <f>(Table6[[#This Row],[Fault Clearance time]]-Table6[[#This Row],[Work Start TimeStamp]])*24</f>
        <v>8.3333333333333037E-2</v>
      </c>
      <c r="T1613" s="472">
        <f>(Table6[[#This Row],[Fault Clearance time]]-Table6[[#This Row],[Fault Start TimeStamp]])*24</f>
        <v>8.3333333333333037E-2</v>
      </c>
      <c r="U1613" s="35" t="s">
        <v>2108</v>
      </c>
      <c r="V1613" s="102" t="s">
        <v>293</v>
      </c>
      <c r="W1613" s="549">
        <f>IFERROR(Table6[[#This Row],[Breakdown Time]]*Table6[[#This Row],[Plant Equivalent Weightage]],"")</f>
        <v>3.2051282051281929E-3</v>
      </c>
      <c r="X1613" s="473" t="s">
        <v>290</v>
      </c>
      <c r="Y1613" s="474" t="s">
        <v>99</v>
      </c>
      <c r="Z1613" s="102">
        <v>13413</v>
      </c>
      <c r="AA1613" s="468">
        <f>(Table6[[#This Row],[Paired WTG Generation for loss calculation]]/24)*Table6[[#This Row],[Breakdown Time]]</f>
        <v>46.572916666666501</v>
      </c>
      <c r="AB1613" s="102"/>
      <c r="AC1613" s="35"/>
      <c r="AD1613" s="35"/>
    </row>
    <row r="1614" spans="1:30">
      <c r="A1614" s="102">
        <f t="shared" si="25"/>
        <v>1613</v>
      </c>
      <c r="B1614" s="468">
        <f>YEAR(Table6[[#This Row],[Date]])+IF(MONTH(Table6[[#This Row],[Date]])&gt;=4,1,0)</f>
        <v>2026</v>
      </c>
      <c r="C1614" s="102">
        <f>YEAR(Table6[[#This Row],[Date]])</f>
        <v>2025</v>
      </c>
      <c r="D1614" s="102" t="s">
        <v>1986</v>
      </c>
      <c r="E1614" s="469">
        <f>Table6[[#This Row],[Date]]-DAY(Table6[[#This Row],[Date]])+1</f>
        <v>45839</v>
      </c>
      <c r="F1614" s="470">
        <v>45863</v>
      </c>
      <c r="G1614" s="35" t="s">
        <v>83</v>
      </c>
      <c r="H1614" s="35" t="str">
        <f>IFERROR(_xlfn.XLOOKUP(Table6[[#This Row],[Affected WTG]],'Basic Data'!$A:$A,'Basic Data'!$B:$B),"")</f>
        <v>TQGXIIPL</v>
      </c>
      <c r="I1614" s="35" t="str">
        <f>IFERROR(_xlfn.XLOOKUP(Table6[[#This Row],[Affected WTG]],'Basic Data'!$A:$A,'Basic Data'!$C:$C),"")</f>
        <v>GEDA</v>
      </c>
      <c r="J1614" s="471">
        <f>IFERROR(_xlfn.XLOOKUP(Table6[[#This Row],[Affected WTG]],'Basic Data'!$A:$A,'Basic Data'!$E:$E),"")</f>
        <v>3.846153846153845E-2</v>
      </c>
      <c r="K1614" s="102">
        <v>55</v>
      </c>
      <c r="L1614" s="35" t="str">
        <f>IFERROR(_xlfn.XLOOKUP(Table6[[#This Row],[Error Code]],'Basic Data'!$AA:$AA,'Basic Data'!$AB:$AB),"Incorrect Error Code")</f>
        <v>WTG shut down</v>
      </c>
      <c r="M1614" s="35" t="s">
        <v>291</v>
      </c>
      <c r="N1614" s="475"/>
      <c r="O1614" s="476">
        <v>0.43611111111111112</v>
      </c>
      <c r="P1614" s="476">
        <v>0.43611111111111112</v>
      </c>
      <c r="Q1614" s="477">
        <v>0.43958333333333333</v>
      </c>
      <c r="R1614" s="472">
        <f>IF(Table6[[#This Row],[Work Start TimeStamp]]="","",(Table6[[#This Row],[Work Start TimeStamp]]-Table6[[#This Row],[Fault Start TimeStamp]])*24)</f>
        <v>0</v>
      </c>
      <c r="S1614" s="472">
        <f>(Table6[[#This Row],[Fault Clearance time]]-Table6[[#This Row],[Work Start TimeStamp]])*24</f>
        <v>8.3333333333333037E-2</v>
      </c>
      <c r="T1614" s="472">
        <f>(Table6[[#This Row],[Fault Clearance time]]-Table6[[#This Row],[Fault Start TimeStamp]])*24</f>
        <v>8.3333333333333037E-2</v>
      </c>
      <c r="U1614" s="35" t="s">
        <v>2108</v>
      </c>
      <c r="V1614" s="102" t="s">
        <v>293</v>
      </c>
      <c r="W1614" s="549">
        <f>IFERROR(Table6[[#This Row],[Breakdown Time]]*Table6[[#This Row],[Plant Equivalent Weightage]],"")</f>
        <v>3.2051282051281929E-3</v>
      </c>
      <c r="X1614" s="473" t="s">
        <v>290</v>
      </c>
      <c r="Y1614" s="474" t="s">
        <v>88</v>
      </c>
      <c r="Z1614" s="102">
        <v>12269</v>
      </c>
      <c r="AA1614" s="468">
        <f>(Table6[[#This Row],[Paired WTG Generation for loss calculation]]/24)*Table6[[#This Row],[Breakdown Time]]</f>
        <v>42.600694444444294</v>
      </c>
      <c r="AB1614" s="102"/>
      <c r="AC1614" s="35"/>
      <c r="AD1614" s="35"/>
    </row>
    <row r="1615" spans="1:30">
      <c r="A1615" s="102">
        <f t="shared" ref="A1615:A1678" si="26">A1614+1</f>
        <v>1614</v>
      </c>
      <c r="B1615" s="468">
        <f>YEAR(Table6[[#This Row],[Date]])+IF(MONTH(Table6[[#This Row],[Date]])&gt;=4,1,0)</f>
        <v>2026</v>
      </c>
      <c r="C1615" s="102">
        <f>YEAR(Table6[[#This Row],[Date]])</f>
        <v>2025</v>
      </c>
      <c r="D1615" s="102" t="s">
        <v>1986</v>
      </c>
      <c r="E1615" s="469">
        <f>Table6[[#This Row],[Date]]-DAY(Table6[[#This Row],[Date]])+1</f>
        <v>45839</v>
      </c>
      <c r="F1615" s="470">
        <v>45863</v>
      </c>
      <c r="G1615" s="35" t="s">
        <v>85</v>
      </c>
      <c r="H1615" s="35" t="str">
        <f>IFERROR(_xlfn.XLOOKUP(Table6[[#This Row],[Affected WTG]],'Basic Data'!$A:$A,'Basic Data'!$B:$B),"")</f>
        <v>TQGXIIPL</v>
      </c>
      <c r="I1615" s="35" t="str">
        <f>IFERROR(_xlfn.XLOOKUP(Table6[[#This Row],[Affected WTG]],'Basic Data'!$A:$A,'Basic Data'!$C:$C),"")</f>
        <v>GEDA</v>
      </c>
      <c r="J1615" s="471">
        <f>IFERROR(_xlfn.XLOOKUP(Table6[[#This Row],[Affected WTG]],'Basic Data'!$A:$A,'Basic Data'!$E:$E),"")</f>
        <v>3.846153846153845E-2</v>
      </c>
      <c r="K1615" s="102">
        <v>55</v>
      </c>
      <c r="L1615" s="35" t="str">
        <f>IFERROR(_xlfn.XLOOKUP(Table6[[#This Row],[Error Code]],'Basic Data'!$AA:$AA,'Basic Data'!$AB:$AB),"Incorrect Error Code")</f>
        <v>WTG shut down</v>
      </c>
      <c r="M1615" s="35" t="s">
        <v>291</v>
      </c>
      <c r="N1615" s="475"/>
      <c r="O1615" s="476">
        <v>0.60277777777777775</v>
      </c>
      <c r="P1615" s="476">
        <v>0.60277777777777775</v>
      </c>
      <c r="Q1615" s="477">
        <v>0.60624999999999996</v>
      </c>
      <c r="R1615" s="472">
        <f>IF(Table6[[#This Row],[Work Start TimeStamp]]="","",(Table6[[#This Row],[Work Start TimeStamp]]-Table6[[#This Row],[Fault Start TimeStamp]])*24)</f>
        <v>0</v>
      </c>
      <c r="S1615" s="472">
        <f>(Table6[[#This Row],[Fault Clearance time]]-Table6[[#This Row],[Work Start TimeStamp]])*24</f>
        <v>8.3333333333333037E-2</v>
      </c>
      <c r="T1615" s="472">
        <f>(Table6[[#This Row],[Fault Clearance time]]-Table6[[#This Row],[Fault Start TimeStamp]])*24</f>
        <v>8.3333333333333037E-2</v>
      </c>
      <c r="U1615" s="35" t="s">
        <v>2108</v>
      </c>
      <c r="V1615" s="102" t="s">
        <v>293</v>
      </c>
      <c r="W1615" s="549">
        <f>IFERROR(Table6[[#This Row],[Breakdown Time]]*Table6[[#This Row],[Plant Equivalent Weightage]],"")</f>
        <v>3.2051282051281929E-3</v>
      </c>
      <c r="X1615" s="473" t="s">
        <v>290</v>
      </c>
      <c r="Y1615" s="474" t="s">
        <v>87</v>
      </c>
      <c r="Z1615" s="102">
        <v>13386</v>
      </c>
      <c r="AA1615" s="468">
        <f>(Table6[[#This Row],[Paired WTG Generation for loss calculation]]/24)*Table6[[#This Row],[Breakdown Time]]</f>
        <v>46.479166666666501</v>
      </c>
      <c r="AB1615" s="102"/>
      <c r="AC1615" s="35"/>
      <c r="AD1615" s="35"/>
    </row>
    <row r="1616" spans="1:30">
      <c r="A1616" s="102">
        <f t="shared" si="26"/>
        <v>1615</v>
      </c>
      <c r="B1616" s="468">
        <f>YEAR(Table6[[#This Row],[Date]])+IF(MONTH(Table6[[#This Row],[Date]])&gt;=4,1,0)</f>
        <v>2026</v>
      </c>
      <c r="C1616" s="102">
        <f>YEAR(Table6[[#This Row],[Date]])</f>
        <v>2025</v>
      </c>
      <c r="D1616" s="102" t="s">
        <v>1986</v>
      </c>
      <c r="E1616" s="469">
        <f>Table6[[#This Row],[Date]]-DAY(Table6[[#This Row],[Date]])+1</f>
        <v>45839</v>
      </c>
      <c r="F1616" s="470">
        <v>45863</v>
      </c>
      <c r="G1616" s="35" t="s">
        <v>87</v>
      </c>
      <c r="H1616" s="35" t="str">
        <f>IFERROR(_xlfn.XLOOKUP(Table6[[#This Row],[Affected WTG]],'Basic Data'!$A:$A,'Basic Data'!$B:$B),"")</f>
        <v>TQGXIIPL</v>
      </c>
      <c r="I1616" s="35" t="str">
        <f>IFERROR(_xlfn.XLOOKUP(Table6[[#This Row],[Affected WTG]],'Basic Data'!$A:$A,'Basic Data'!$C:$C),"")</f>
        <v>GEDA</v>
      </c>
      <c r="J1616" s="471">
        <f>IFERROR(_xlfn.XLOOKUP(Table6[[#This Row],[Affected WTG]],'Basic Data'!$A:$A,'Basic Data'!$E:$E),"")</f>
        <v>3.846153846153845E-2</v>
      </c>
      <c r="K1616" s="102">
        <v>55</v>
      </c>
      <c r="L1616" s="35" t="str">
        <f>IFERROR(_xlfn.XLOOKUP(Table6[[#This Row],[Error Code]],'Basic Data'!$AA:$AA,'Basic Data'!$AB:$AB),"Incorrect Error Code")</f>
        <v>WTG shut down</v>
      </c>
      <c r="M1616" s="35" t="s">
        <v>291</v>
      </c>
      <c r="N1616" s="475"/>
      <c r="O1616" s="476">
        <v>0.47083333333333333</v>
      </c>
      <c r="P1616" s="476">
        <v>0.47083333333333333</v>
      </c>
      <c r="Q1616" s="477">
        <v>0.47430555555555554</v>
      </c>
      <c r="R1616" s="472">
        <f>IF(Table6[[#This Row],[Work Start TimeStamp]]="","",(Table6[[#This Row],[Work Start TimeStamp]]-Table6[[#This Row],[Fault Start TimeStamp]])*24)</f>
        <v>0</v>
      </c>
      <c r="S1616" s="472">
        <f>(Table6[[#This Row],[Fault Clearance time]]-Table6[[#This Row],[Work Start TimeStamp]])*24</f>
        <v>8.3333333333333037E-2</v>
      </c>
      <c r="T1616" s="472">
        <f>(Table6[[#This Row],[Fault Clearance time]]-Table6[[#This Row],[Fault Start TimeStamp]])*24</f>
        <v>8.3333333333333037E-2</v>
      </c>
      <c r="U1616" s="35" t="s">
        <v>2108</v>
      </c>
      <c r="V1616" s="102" t="s">
        <v>293</v>
      </c>
      <c r="W1616" s="549">
        <f>IFERROR(Table6[[#This Row],[Breakdown Time]]*Table6[[#This Row],[Plant Equivalent Weightage]],"")</f>
        <v>3.2051282051281929E-3</v>
      </c>
      <c r="X1616" s="473" t="s">
        <v>290</v>
      </c>
      <c r="Y1616" s="474" t="s">
        <v>85</v>
      </c>
      <c r="Z1616" s="102">
        <v>13718</v>
      </c>
      <c r="AA1616" s="468">
        <f>(Table6[[#This Row],[Paired WTG Generation for loss calculation]]/24)*Table6[[#This Row],[Breakdown Time]]</f>
        <v>47.631944444444279</v>
      </c>
      <c r="AB1616" s="102"/>
      <c r="AC1616" s="35"/>
      <c r="AD1616" s="35"/>
    </row>
    <row r="1617" spans="1:30">
      <c r="A1617" s="102">
        <f t="shared" si="26"/>
        <v>1616</v>
      </c>
      <c r="B1617" s="468">
        <f>YEAR(Table6[[#This Row],[Date]])+IF(MONTH(Table6[[#This Row],[Date]])&gt;=4,1,0)</f>
        <v>2026</v>
      </c>
      <c r="C1617" s="102">
        <f>YEAR(Table6[[#This Row],[Date]])</f>
        <v>2025</v>
      </c>
      <c r="D1617" s="102" t="s">
        <v>1986</v>
      </c>
      <c r="E1617" s="469">
        <f>Table6[[#This Row],[Date]]-DAY(Table6[[#This Row],[Date]])+1</f>
        <v>45839</v>
      </c>
      <c r="F1617" s="470">
        <v>45863</v>
      </c>
      <c r="G1617" s="35" t="s">
        <v>89</v>
      </c>
      <c r="H1617" s="35" t="str">
        <f>IFERROR(_xlfn.XLOOKUP(Table6[[#This Row],[Affected WTG]],'Basic Data'!$A:$A,'Basic Data'!$B:$B),"")</f>
        <v>TQGXIIPL</v>
      </c>
      <c r="I1617" s="35" t="str">
        <f>IFERROR(_xlfn.XLOOKUP(Table6[[#This Row],[Affected WTG]],'Basic Data'!$A:$A,'Basic Data'!$C:$C),"")</f>
        <v>GEDA</v>
      </c>
      <c r="J1617" s="471">
        <f>IFERROR(_xlfn.XLOOKUP(Table6[[#This Row],[Affected WTG]],'Basic Data'!$A:$A,'Basic Data'!$E:$E),"")</f>
        <v>3.846153846153845E-2</v>
      </c>
      <c r="K1617" s="102">
        <v>55</v>
      </c>
      <c r="L1617" s="35" t="str">
        <f>IFERROR(_xlfn.XLOOKUP(Table6[[#This Row],[Error Code]],'Basic Data'!$AA:$AA,'Basic Data'!$AB:$AB),"Incorrect Error Code")</f>
        <v>WTG shut down</v>
      </c>
      <c r="M1617" s="35" t="s">
        <v>291</v>
      </c>
      <c r="N1617" s="475"/>
      <c r="O1617" s="476">
        <v>0.47569444444444442</v>
      </c>
      <c r="P1617" s="476">
        <v>0.47569444444444442</v>
      </c>
      <c r="Q1617" s="477">
        <v>0.47847222222222224</v>
      </c>
      <c r="R1617" s="472">
        <f>IF(Table6[[#This Row],[Work Start TimeStamp]]="","",(Table6[[#This Row],[Work Start TimeStamp]]-Table6[[#This Row],[Fault Start TimeStamp]])*24)</f>
        <v>0</v>
      </c>
      <c r="S1617" s="472">
        <f>(Table6[[#This Row],[Fault Clearance time]]-Table6[[#This Row],[Work Start TimeStamp]])*24</f>
        <v>6.6666666666667762E-2</v>
      </c>
      <c r="T1617" s="472">
        <f>(Table6[[#This Row],[Fault Clearance time]]-Table6[[#This Row],[Fault Start TimeStamp]])*24</f>
        <v>6.6666666666667762E-2</v>
      </c>
      <c r="U1617" s="35" t="s">
        <v>2108</v>
      </c>
      <c r="V1617" s="102" t="s">
        <v>293</v>
      </c>
      <c r="W1617" s="549">
        <f>IFERROR(Table6[[#This Row],[Breakdown Time]]*Table6[[#This Row],[Plant Equivalent Weightage]],"")</f>
        <v>2.5641025641026053E-3</v>
      </c>
      <c r="X1617" s="473" t="s">
        <v>290</v>
      </c>
      <c r="Y1617" s="474" t="s">
        <v>94</v>
      </c>
      <c r="Z1617" s="102">
        <v>17684</v>
      </c>
      <c r="AA1617" s="468">
        <f>(Table6[[#This Row],[Paired WTG Generation for loss calculation]]/24)*Table6[[#This Row],[Breakdown Time]]</f>
        <v>49.12222222222303</v>
      </c>
      <c r="AB1617" s="102"/>
      <c r="AC1617" s="35"/>
      <c r="AD1617" s="35"/>
    </row>
    <row r="1618" spans="1:30">
      <c r="A1618" s="102">
        <f t="shared" si="26"/>
        <v>1617</v>
      </c>
      <c r="B1618" s="468">
        <f>YEAR(Table6[[#This Row],[Date]])+IF(MONTH(Table6[[#This Row],[Date]])&gt;=4,1,0)</f>
        <v>2026</v>
      </c>
      <c r="C1618" s="102">
        <f>YEAR(Table6[[#This Row],[Date]])</f>
        <v>2025</v>
      </c>
      <c r="D1618" s="102" t="s">
        <v>1986</v>
      </c>
      <c r="E1618" s="469">
        <f>Table6[[#This Row],[Date]]-DAY(Table6[[#This Row],[Date]])+1</f>
        <v>45839</v>
      </c>
      <c r="F1618" s="470">
        <v>45863</v>
      </c>
      <c r="G1618" s="35" t="s">
        <v>93</v>
      </c>
      <c r="H1618" s="35" t="str">
        <f>IFERROR(_xlfn.XLOOKUP(Table6[[#This Row],[Affected WTG]],'Basic Data'!$A:$A,'Basic Data'!$B:$B),"")</f>
        <v>TQGXIIPL</v>
      </c>
      <c r="I1618" s="35" t="str">
        <f>IFERROR(_xlfn.XLOOKUP(Table6[[#This Row],[Affected WTG]],'Basic Data'!$A:$A,'Basic Data'!$C:$C),"")</f>
        <v>GEDA</v>
      </c>
      <c r="J1618" s="471">
        <f>IFERROR(_xlfn.XLOOKUP(Table6[[#This Row],[Affected WTG]],'Basic Data'!$A:$A,'Basic Data'!$E:$E),"")</f>
        <v>3.846153846153845E-2</v>
      </c>
      <c r="K1618" s="102">
        <v>55</v>
      </c>
      <c r="L1618" s="35" t="str">
        <f>IFERROR(_xlfn.XLOOKUP(Table6[[#This Row],[Error Code]],'Basic Data'!$AA:$AA,'Basic Data'!$AB:$AB),"Incorrect Error Code")</f>
        <v>WTG shut down</v>
      </c>
      <c r="M1618" s="35" t="s">
        <v>291</v>
      </c>
      <c r="N1618" s="475"/>
      <c r="O1618" s="476">
        <v>0.49652777777777779</v>
      </c>
      <c r="P1618" s="476">
        <v>0.49652777777777779</v>
      </c>
      <c r="Q1618" s="477">
        <v>0.50624999999999998</v>
      </c>
      <c r="R1618" s="472">
        <f>IF(Table6[[#This Row],[Work Start TimeStamp]]="","",(Table6[[#This Row],[Work Start TimeStamp]]-Table6[[#This Row],[Fault Start TimeStamp]])*24)</f>
        <v>0</v>
      </c>
      <c r="S1618" s="472">
        <f>(Table6[[#This Row],[Fault Clearance time]]-Table6[[#This Row],[Work Start TimeStamp]])*24</f>
        <v>0.2333333333333325</v>
      </c>
      <c r="T1618" s="472">
        <f>(Table6[[#This Row],[Fault Clearance time]]-Table6[[#This Row],[Fault Start TimeStamp]])*24</f>
        <v>0.2333333333333325</v>
      </c>
      <c r="U1618" s="35" t="s">
        <v>2108</v>
      </c>
      <c r="V1618" s="102" t="s">
        <v>293</v>
      </c>
      <c r="W1618" s="549">
        <f>IFERROR(Table6[[#This Row],[Breakdown Time]]*Table6[[#This Row],[Plant Equivalent Weightage]],"")</f>
        <v>8.974358974358939E-3</v>
      </c>
      <c r="X1618" s="473" t="s">
        <v>290</v>
      </c>
      <c r="Y1618" s="474" t="s">
        <v>97</v>
      </c>
      <c r="Z1618" s="102">
        <v>15668</v>
      </c>
      <c r="AA1618" s="468">
        <f>(Table6[[#This Row],[Paired WTG Generation for loss calculation]]/24)*Table6[[#This Row],[Breakdown Time]]</f>
        <v>152.32777777777724</v>
      </c>
      <c r="AB1618" s="102"/>
      <c r="AC1618" s="35"/>
      <c r="AD1618" s="35"/>
    </row>
    <row r="1619" spans="1:30">
      <c r="A1619" s="102">
        <f t="shared" si="26"/>
        <v>1618</v>
      </c>
      <c r="B1619" s="468">
        <f>YEAR(Table6[[#This Row],[Date]])+IF(MONTH(Table6[[#This Row],[Date]])&gt;=4,1,0)</f>
        <v>2026</v>
      </c>
      <c r="C1619" s="102">
        <f>YEAR(Table6[[#This Row],[Date]])</f>
        <v>2025</v>
      </c>
      <c r="D1619" s="102" t="s">
        <v>1986</v>
      </c>
      <c r="E1619" s="469">
        <f>Table6[[#This Row],[Date]]-DAY(Table6[[#This Row],[Date]])+1</f>
        <v>45839</v>
      </c>
      <c r="F1619" s="470">
        <v>45863</v>
      </c>
      <c r="G1619" s="35" t="s">
        <v>94</v>
      </c>
      <c r="H1619" s="35" t="str">
        <f>IFERROR(_xlfn.XLOOKUP(Table6[[#This Row],[Affected WTG]],'Basic Data'!$A:$A,'Basic Data'!$B:$B),"")</f>
        <v>TQGXIIPL</v>
      </c>
      <c r="I1619" s="35" t="str">
        <f>IFERROR(_xlfn.XLOOKUP(Table6[[#This Row],[Affected WTG]],'Basic Data'!$A:$A,'Basic Data'!$C:$C),"")</f>
        <v>GEDA</v>
      </c>
      <c r="J1619" s="471">
        <f>IFERROR(_xlfn.XLOOKUP(Table6[[#This Row],[Affected WTG]],'Basic Data'!$A:$A,'Basic Data'!$E:$E),"")</f>
        <v>3.846153846153845E-2</v>
      </c>
      <c r="K1619" s="102">
        <v>55</v>
      </c>
      <c r="L1619" s="35" t="str">
        <f>IFERROR(_xlfn.XLOOKUP(Table6[[#This Row],[Error Code]],'Basic Data'!$AA:$AA,'Basic Data'!$AB:$AB),"Incorrect Error Code")</f>
        <v>WTG shut down</v>
      </c>
      <c r="M1619" s="35" t="s">
        <v>291</v>
      </c>
      <c r="N1619" s="475"/>
      <c r="O1619" s="476">
        <v>0.63124999999999998</v>
      </c>
      <c r="P1619" s="476">
        <v>0.63124999999999998</v>
      </c>
      <c r="Q1619" s="477">
        <v>0.63541666666666663</v>
      </c>
      <c r="R1619" s="472">
        <f>IF(Table6[[#This Row],[Work Start TimeStamp]]="","",(Table6[[#This Row],[Work Start TimeStamp]]-Table6[[#This Row],[Fault Start TimeStamp]])*24)</f>
        <v>0</v>
      </c>
      <c r="S1619" s="472">
        <f>(Table6[[#This Row],[Fault Clearance time]]-Table6[[#This Row],[Work Start TimeStamp]])*24</f>
        <v>9.9999999999999645E-2</v>
      </c>
      <c r="T1619" s="472">
        <f>(Table6[[#This Row],[Fault Clearance time]]-Table6[[#This Row],[Fault Start TimeStamp]])*24</f>
        <v>9.9999999999999645E-2</v>
      </c>
      <c r="U1619" s="35" t="s">
        <v>2108</v>
      </c>
      <c r="V1619" s="102" t="s">
        <v>293</v>
      </c>
      <c r="W1619" s="549">
        <f>IFERROR(Table6[[#This Row],[Breakdown Time]]*Table6[[#This Row],[Plant Equivalent Weightage]],"")</f>
        <v>3.8461538461538312E-3</v>
      </c>
      <c r="X1619" s="473" t="s">
        <v>290</v>
      </c>
      <c r="Y1619" s="474" t="s">
        <v>79</v>
      </c>
      <c r="Z1619" s="102">
        <v>17958</v>
      </c>
      <c r="AA1619" s="468">
        <f>(Table6[[#This Row],[Paired WTG Generation for loss calculation]]/24)*Table6[[#This Row],[Breakdown Time]]</f>
        <v>74.824999999999733</v>
      </c>
      <c r="AB1619" s="102"/>
      <c r="AC1619" s="35"/>
      <c r="AD1619" s="35"/>
    </row>
    <row r="1620" spans="1:30">
      <c r="A1620" s="102">
        <f t="shared" si="26"/>
        <v>1619</v>
      </c>
      <c r="B1620" s="468">
        <f>YEAR(Table6[[#This Row],[Date]])+IF(MONTH(Table6[[#This Row],[Date]])&gt;=4,1,0)</f>
        <v>2026</v>
      </c>
      <c r="C1620" s="102">
        <f>YEAR(Table6[[#This Row],[Date]])</f>
        <v>2025</v>
      </c>
      <c r="D1620" s="102" t="s">
        <v>1986</v>
      </c>
      <c r="E1620" s="469">
        <f>Table6[[#This Row],[Date]]-DAY(Table6[[#This Row],[Date]])+1</f>
        <v>45839</v>
      </c>
      <c r="F1620" s="470">
        <v>45863</v>
      </c>
      <c r="G1620" s="35" t="s">
        <v>95</v>
      </c>
      <c r="H1620" s="35" t="str">
        <f>IFERROR(_xlfn.XLOOKUP(Table6[[#This Row],[Affected WTG]],'Basic Data'!$A:$A,'Basic Data'!$B:$B),"")</f>
        <v>TQGXIIPL</v>
      </c>
      <c r="I1620" s="35" t="str">
        <f>IFERROR(_xlfn.XLOOKUP(Table6[[#This Row],[Affected WTG]],'Basic Data'!$A:$A,'Basic Data'!$C:$C),"")</f>
        <v>GEDA</v>
      </c>
      <c r="J1620" s="471">
        <f>IFERROR(_xlfn.XLOOKUP(Table6[[#This Row],[Affected WTG]],'Basic Data'!$A:$A,'Basic Data'!$E:$E),"")</f>
        <v>3.846153846153845E-2</v>
      </c>
      <c r="K1620" s="102">
        <v>55</v>
      </c>
      <c r="L1620" s="35" t="str">
        <f>IFERROR(_xlfn.XLOOKUP(Table6[[#This Row],[Error Code]],'Basic Data'!$AA:$AA,'Basic Data'!$AB:$AB),"Incorrect Error Code")</f>
        <v>WTG shut down</v>
      </c>
      <c r="M1620" s="35" t="s">
        <v>291</v>
      </c>
      <c r="N1620" s="475"/>
      <c r="O1620" s="476">
        <v>0.57777777777777772</v>
      </c>
      <c r="P1620" s="476">
        <v>0.57777777777777772</v>
      </c>
      <c r="Q1620" s="477">
        <v>0.5805555555555556</v>
      </c>
      <c r="R1620" s="472">
        <f>IF(Table6[[#This Row],[Work Start TimeStamp]]="","",(Table6[[#This Row],[Work Start TimeStamp]]-Table6[[#This Row],[Fault Start TimeStamp]])*24)</f>
        <v>0</v>
      </c>
      <c r="S1620" s="472">
        <f>(Table6[[#This Row],[Fault Clearance time]]-Table6[[#This Row],[Work Start TimeStamp]])*24</f>
        <v>6.6666666666669094E-2</v>
      </c>
      <c r="T1620" s="472">
        <f>(Table6[[#This Row],[Fault Clearance time]]-Table6[[#This Row],[Fault Start TimeStamp]])*24</f>
        <v>6.6666666666669094E-2</v>
      </c>
      <c r="U1620" s="35" t="s">
        <v>2108</v>
      </c>
      <c r="V1620" s="102" t="s">
        <v>293</v>
      </c>
      <c r="W1620" s="549">
        <f>IFERROR(Table6[[#This Row],[Breakdown Time]]*Table6[[#This Row],[Plant Equivalent Weightage]],"")</f>
        <v>2.5641025641026569E-3</v>
      </c>
      <c r="X1620" s="473" t="s">
        <v>290</v>
      </c>
      <c r="Y1620" s="474" t="s">
        <v>79</v>
      </c>
      <c r="Z1620" s="102">
        <v>17958</v>
      </c>
      <c r="AA1620" s="468">
        <f>(Table6[[#This Row],[Paired WTG Generation for loss calculation]]/24)*Table6[[#This Row],[Breakdown Time]]</f>
        <v>49.883333333335152</v>
      </c>
      <c r="AB1620" s="102"/>
      <c r="AC1620" s="35"/>
      <c r="AD1620" s="35"/>
    </row>
    <row r="1621" spans="1:30">
      <c r="A1621" s="102">
        <f t="shared" si="26"/>
        <v>1620</v>
      </c>
      <c r="B1621" s="468">
        <f>YEAR(Table6[[#This Row],[Date]])+IF(MONTH(Table6[[#This Row],[Date]])&gt;=4,1,0)</f>
        <v>2026</v>
      </c>
      <c r="C1621" s="102">
        <f>YEAR(Table6[[#This Row],[Date]])</f>
        <v>2025</v>
      </c>
      <c r="D1621" s="102" t="s">
        <v>1986</v>
      </c>
      <c r="E1621" s="469">
        <f>Table6[[#This Row],[Date]]-DAY(Table6[[#This Row],[Date]])+1</f>
        <v>45839</v>
      </c>
      <c r="F1621" s="470">
        <v>45863</v>
      </c>
      <c r="G1621" s="35" t="s">
        <v>96</v>
      </c>
      <c r="H1621" s="35" t="str">
        <f>IFERROR(_xlfn.XLOOKUP(Table6[[#This Row],[Affected WTG]],'Basic Data'!$A:$A,'Basic Data'!$B:$B),"")</f>
        <v>TQGXIIPL</v>
      </c>
      <c r="I1621" s="35" t="str">
        <f>IFERROR(_xlfn.XLOOKUP(Table6[[#This Row],[Affected WTG]],'Basic Data'!$A:$A,'Basic Data'!$C:$C),"")</f>
        <v>GEDA</v>
      </c>
      <c r="J1621" s="471">
        <f>IFERROR(_xlfn.XLOOKUP(Table6[[#This Row],[Affected WTG]],'Basic Data'!$A:$A,'Basic Data'!$E:$E),"")</f>
        <v>3.846153846153845E-2</v>
      </c>
      <c r="K1621" s="102">
        <v>55</v>
      </c>
      <c r="L1621" s="35" t="str">
        <f>IFERROR(_xlfn.XLOOKUP(Table6[[#This Row],[Error Code]],'Basic Data'!$AA:$AA,'Basic Data'!$AB:$AB),"Incorrect Error Code")</f>
        <v>WTG shut down</v>
      </c>
      <c r="M1621" s="35" t="s">
        <v>291</v>
      </c>
      <c r="N1621" s="475"/>
      <c r="O1621" s="476">
        <v>0.55625000000000002</v>
      </c>
      <c r="P1621" s="476">
        <v>0.55625000000000002</v>
      </c>
      <c r="Q1621" s="477">
        <v>0.56111111111111112</v>
      </c>
      <c r="R1621" s="472">
        <f>IF(Table6[[#This Row],[Work Start TimeStamp]]="","",(Table6[[#This Row],[Work Start TimeStamp]]-Table6[[#This Row],[Fault Start TimeStamp]])*24)</f>
        <v>0</v>
      </c>
      <c r="S1621" s="472">
        <f>(Table6[[#This Row],[Fault Clearance time]]-Table6[[#This Row],[Work Start TimeStamp]])*24</f>
        <v>0.11666666666666625</v>
      </c>
      <c r="T1621" s="472">
        <f>(Table6[[#This Row],[Fault Clearance time]]-Table6[[#This Row],[Fault Start TimeStamp]])*24</f>
        <v>0.11666666666666625</v>
      </c>
      <c r="U1621" s="35" t="s">
        <v>2108</v>
      </c>
      <c r="V1621" s="102" t="s">
        <v>293</v>
      </c>
      <c r="W1621" s="549">
        <f>IFERROR(Table6[[#This Row],[Breakdown Time]]*Table6[[#This Row],[Plant Equivalent Weightage]],"")</f>
        <v>4.4871794871794695E-3</v>
      </c>
      <c r="X1621" s="473" t="s">
        <v>290</v>
      </c>
      <c r="Y1621" s="474" t="s">
        <v>84</v>
      </c>
      <c r="Z1621" s="102">
        <v>12562</v>
      </c>
      <c r="AA1621" s="468">
        <f>(Table6[[#This Row],[Paired WTG Generation for loss calculation]]/24)*Table6[[#This Row],[Breakdown Time]]</f>
        <v>61.06527777777756</v>
      </c>
      <c r="AB1621" s="102"/>
      <c r="AC1621" s="35"/>
      <c r="AD1621" s="35"/>
    </row>
    <row r="1622" spans="1:30">
      <c r="A1622" s="102">
        <f t="shared" si="26"/>
        <v>1621</v>
      </c>
      <c r="B1622" s="468">
        <f>YEAR(Table6[[#This Row],[Date]])+IF(MONTH(Table6[[#This Row],[Date]])&gt;=4,1,0)</f>
        <v>2026</v>
      </c>
      <c r="C1622" s="102">
        <f>YEAR(Table6[[#This Row],[Date]])</f>
        <v>2025</v>
      </c>
      <c r="D1622" s="102" t="s">
        <v>1986</v>
      </c>
      <c r="E1622" s="469">
        <f>Table6[[#This Row],[Date]]-DAY(Table6[[#This Row],[Date]])+1</f>
        <v>45839</v>
      </c>
      <c r="F1622" s="470">
        <v>45863</v>
      </c>
      <c r="G1622" s="35" t="s">
        <v>78</v>
      </c>
      <c r="H1622" s="35" t="str">
        <f>IFERROR(_xlfn.XLOOKUP(Table6[[#This Row],[Affected WTG]],'Basic Data'!$A:$A,'Basic Data'!$B:$B),"")</f>
        <v>TQGXIIPL</v>
      </c>
      <c r="I1622" s="35" t="str">
        <f>IFERROR(_xlfn.XLOOKUP(Table6[[#This Row],[Affected WTG]],'Basic Data'!$A:$A,'Basic Data'!$C:$C),"")</f>
        <v>GEDA</v>
      </c>
      <c r="J1622" s="471">
        <f>IFERROR(_xlfn.XLOOKUP(Table6[[#This Row],[Affected WTG]],'Basic Data'!$A:$A,'Basic Data'!$E:$E),"")</f>
        <v>3.846153846153845E-2</v>
      </c>
      <c r="K1622" s="102">
        <v>3110</v>
      </c>
      <c r="L1622" s="35" t="str">
        <f>IFERROR(_xlfn.XLOOKUP(Table6[[#This Row],[Error Code]],'Basic Data'!$AA:$AA,'Basic Data'!$AB:$AB),"Incorrect Error Code")</f>
        <v>Frequency converter error</v>
      </c>
      <c r="M1622" s="35" t="s">
        <v>292</v>
      </c>
      <c r="N1622" s="475"/>
      <c r="O1622" s="476">
        <v>2.4305555555555556E-2</v>
      </c>
      <c r="P1622" s="476">
        <v>2.4305555555555556E-2</v>
      </c>
      <c r="Q1622" s="477">
        <v>2.6388888888888889E-2</v>
      </c>
      <c r="R1622" s="472">
        <f>IF(Table6[[#This Row],[Work Start TimeStamp]]="","",(Table6[[#This Row],[Work Start TimeStamp]]-Table6[[#This Row],[Fault Start TimeStamp]])*24)</f>
        <v>0</v>
      </c>
      <c r="S1622" s="472">
        <f>(Table6[[#This Row],[Fault Clearance time]]-Table6[[#This Row],[Work Start TimeStamp]])*24</f>
        <v>4.9999999999999989E-2</v>
      </c>
      <c r="T1622" s="472">
        <f>(Table6[[#This Row],[Fault Clearance time]]-Table6[[#This Row],[Fault Start TimeStamp]])*24</f>
        <v>4.9999999999999989E-2</v>
      </c>
      <c r="U1622" s="35" t="s">
        <v>336</v>
      </c>
      <c r="V1622" s="102" t="s">
        <v>293</v>
      </c>
      <c r="W1622" s="549">
        <f>IFERROR(Table6[[#This Row],[Breakdown Time]]*Table6[[#This Row],[Plant Equivalent Weightage]],"")</f>
        <v>1.9230769230769221E-3</v>
      </c>
      <c r="X1622" s="473" t="s">
        <v>294</v>
      </c>
      <c r="Y1622" s="474" t="s">
        <v>75</v>
      </c>
      <c r="Z1622" s="102">
        <v>15874</v>
      </c>
      <c r="AA1622" s="468">
        <f>(Table6[[#This Row],[Paired WTG Generation for loss calculation]]/24)*Table6[[#This Row],[Breakdown Time]]</f>
        <v>33.070833333333326</v>
      </c>
      <c r="AB1622" s="102"/>
      <c r="AC1622" s="35"/>
      <c r="AD1622" s="35"/>
    </row>
    <row r="1623" spans="1:30">
      <c r="A1623" s="102">
        <f t="shared" si="26"/>
        <v>1622</v>
      </c>
      <c r="B1623" s="468">
        <f>YEAR(Table6[[#This Row],[Date]])+IF(MONTH(Table6[[#This Row],[Date]])&gt;=4,1,0)</f>
        <v>2026</v>
      </c>
      <c r="C1623" s="102">
        <f>YEAR(Table6[[#This Row],[Date]])</f>
        <v>2025</v>
      </c>
      <c r="D1623" s="102" t="s">
        <v>1986</v>
      </c>
      <c r="E1623" s="469">
        <f>Table6[[#This Row],[Date]]-DAY(Table6[[#This Row],[Date]])+1</f>
        <v>45839</v>
      </c>
      <c r="F1623" s="470">
        <v>45863</v>
      </c>
      <c r="G1623" s="35" t="s">
        <v>78</v>
      </c>
      <c r="H1623" s="35" t="str">
        <f>IFERROR(_xlfn.XLOOKUP(Table6[[#This Row],[Affected WTG]],'Basic Data'!$A:$A,'Basic Data'!$B:$B),"")</f>
        <v>TQGXIIPL</v>
      </c>
      <c r="I1623" s="35" t="str">
        <f>IFERROR(_xlfn.XLOOKUP(Table6[[#This Row],[Affected WTG]],'Basic Data'!$A:$A,'Basic Data'!$C:$C),"")</f>
        <v>GEDA</v>
      </c>
      <c r="J1623" s="471">
        <f>IFERROR(_xlfn.XLOOKUP(Table6[[#This Row],[Affected WTG]],'Basic Data'!$A:$A,'Basic Data'!$E:$E),"")</f>
        <v>3.846153846153845E-2</v>
      </c>
      <c r="K1623" s="102">
        <v>3110</v>
      </c>
      <c r="L1623" s="35" t="str">
        <f>IFERROR(_xlfn.XLOOKUP(Table6[[#This Row],[Error Code]],'Basic Data'!$AA:$AA,'Basic Data'!$AB:$AB),"Incorrect Error Code")</f>
        <v>Frequency converter error</v>
      </c>
      <c r="M1623" s="35" t="s">
        <v>292</v>
      </c>
      <c r="N1623" s="475"/>
      <c r="O1623" s="476">
        <v>0.55277777777777781</v>
      </c>
      <c r="P1623" s="476">
        <v>0.55277777777777781</v>
      </c>
      <c r="Q1623" s="477">
        <v>0.5541666666666667</v>
      </c>
      <c r="R1623" s="472">
        <f>IF(Table6[[#This Row],[Work Start TimeStamp]]="","",(Table6[[#This Row],[Work Start TimeStamp]]-Table6[[#This Row],[Fault Start TimeStamp]])*24)</f>
        <v>0</v>
      </c>
      <c r="S1623" s="472">
        <f>(Table6[[#This Row],[Fault Clearance time]]-Table6[[#This Row],[Work Start TimeStamp]])*24</f>
        <v>3.3333333333333215E-2</v>
      </c>
      <c r="T1623" s="472">
        <f>(Table6[[#This Row],[Fault Clearance time]]-Table6[[#This Row],[Fault Start TimeStamp]])*24</f>
        <v>3.3333333333333215E-2</v>
      </c>
      <c r="U1623" s="35" t="s">
        <v>336</v>
      </c>
      <c r="V1623" s="102" t="s">
        <v>293</v>
      </c>
      <c r="W1623" s="549">
        <f>IFERROR(Table6[[#This Row],[Breakdown Time]]*Table6[[#This Row],[Plant Equivalent Weightage]],"")</f>
        <v>1.2820512820512771E-3</v>
      </c>
      <c r="X1623" s="473" t="s">
        <v>294</v>
      </c>
      <c r="Y1623" s="474" t="s">
        <v>75</v>
      </c>
      <c r="Z1623" s="102">
        <v>15874</v>
      </c>
      <c r="AA1623" s="468">
        <f>(Table6[[#This Row],[Paired WTG Generation for loss calculation]]/24)*Table6[[#This Row],[Breakdown Time]]</f>
        <v>22.047222222222143</v>
      </c>
      <c r="AB1623" s="102"/>
      <c r="AC1623" s="35"/>
      <c r="AD1623" s="35"/>
    </row>
    <row r="1624" spans="1:30">
      <c r="A1624" s="102">
        <f t="shared" si="26"/>
        <v>1623</v>
      </c>
      <c r="B1624" s="468">
        <f>YEAR(Table6[[#This Row],[Date]])+IF(MONTH(Table6[[#This Row],[Date]])&gt;=4,1,0)</f>
        <v>2026</v>
      </c>
      <c r="C1624" s="102">
        <f>YEAR(Table6[[#This Row],[Date]])</f>
        <v>2025</v>
      </c>
      <c r="D1624" s="102" t="s">
        <v>1986</v>
      </c>
      <c r="E1624" s="469">
        <f>Table6[[#This Row],[Date]]-DAY(Table6[[#This Row],[Date]])+1</f>
        <v>45839</v>
      </c>
      <c r="F1624" s="470">
        <v>45863</v>
      </c>
      <c r="G1624" s="35" t="s">
        <v>83</v>
      </c>
      <c r="H1624" s="35" t="str">
        <f>IFERROR(_xlfn.XLOOKUP(Table6[[#This Row],[Affected WTG]],'Basic Data'!$A:$A,'Basic Data'!$B:$B),"")</f>
        <v>TQGXIIPL</v>
      </c>
      <c r="I1624" s="35" t="str">
        <f>IFERROR(_xlfn.XLOOKUP(Table6[[#This Row],[Affected WTG]],'Basic Data'!$A:$A,'Basic Data'!$C:$C),"")</f>
        <v>GEDA</v>
      </c>
      <c r="J1624" s="471">
        <f>IFERROR(_xlfn.XLOOKUP(Table6[[#This Row],[Affected WTG]],'Basic Data'!$A:$A,'Basic Data'!$E:$E),"")</f>
        <v>3.846153846153845E-2</v>
      </c>
      <c r="K1624" s="102">
        <v>656</v>
      </c>
      <c r="L1624" s="35" t="str">
        <f>IFERROR(_xlfn.XLOOKUP(Table6[[#This Row],[Error Code]],'Basic Data'!$AA:$AA,'Basic Data'!$AB:$AB),"Incorrect Error Code")</f>
        <v>Error pitch converter 1</v>
      </c>
      <c r="M1624" s="35" t="s">
        <v>292</v>
      </c>
      <c r="N1624" s="475"/>
      <c r="O1624" s="476">
        <v>0.37291666666666667</v>
      </c>
      <c r="P1624" s="476">
        <v>0.37291666666666667</v>
      </c>
      <c r="Q1624" s="477">
        <v>0.37361111111111112</v>
      </c>
      <c r="R1624" s="472">
        <f>IF(Table6[[#This Row],[Work Start TimeStamp]]="","",(Table6[[#This Row],[Work Start TimeStamp]]-Table6[[#This Row],[Fault Start TimeStamp]])*24)</f>
        <v>0</v>
      </c>
      <c r="S1624" s="472">
        <f>(Table6[[#This Row],[Fault Clearance time]]-Table6[[#This Row],[Work Start TimeStamp]])*24</f>
        <v>1.6666666666666607E-2</v>
      </c>
      <c r="T1624" s="472">
        <f>(Table6[[#This Row],[Fault Clearance time]]-Table6[[#This Row],[Fault Start TimeStamp]])*24</f>
        <v>1.6666666666666607E-2</v>
      </c>
      <c r="U1624" s="35" t="s">
        <v>336</v>
      </c>
      <c r="V1624" s="102" t="s">
        <v>293</v>
      </c>
      <c r="W1624" s="549">
        <f>IFERROR(Table6[[#This Row],[Breakdown Time]]*Table6[[#This Row],[Plant Equivalent Weightage]],"")</f>
        <v>6.4102564102563853E-4</v>
      </c>
      <c r="X1624" s="473" t="s">
        <v>294</v>
      </c>
      <c r="Y1624" s="474" t="s">
        <v>88</v>
      </c>
      <c r="Z1624" s="102">
        <v>12269</v>
      </c>
      <c r="AA1624" s="468">
        <f>(Table6[[#This Row],[Paired WTG Generation for loss calculation]]/24)*Table6[[#This Row],[Breakdown Time]]</f>
        <v>8.5201388888888587</v>
      </c>
      <c r="AB1624" s="102"/>
      <c r="AC1624" s="35"/>
      <c r="AD1624" s="35"/>
    </row>
    <row r="1625" spans="1:30">
      <c r="A1625" s="102">
        <f t="shared" si="26"/>
        <v>1624</v>
      </c>
      <c r="B1625" s="468">
        <f>YEAR(Table6[[#This Row],[Date]])+IF(MONTH(Table6[[#This Row],[Date]])&gt;=4,1,0)</f>
        <v>2026</v>
      </c>
      <c r="C1625" s="102">
        <f>YEAR(Table6[[#This Row],[Date]])</f>
        <v>2025</v>
      </c>
      <c r="D1625" s="102" t="s">
        <v>1986</v>
      </c>
      <c r="E1625" s="469">
        <f>Table6[[#This Row],[Date]]-DAY(Table6[[#This Row],[Date]])+1</f>
        <v>45839</v>
      </c>
      <c r="F1625" s="470">
        <v>45864</v>
      </c>
      <c r="G1625" s="35" t="s">
        <v>74</v>
      </c>
      <c r="H1625" s="35" t="str">
        <f>IFERROR(_xlfn.XLOOKUP(Table6[[#This Row],[Affected WTG]],'Basic Data'!$A:$A,'Basic Data'!$B:$B),"")</f>
        <v>TQGXIIPL</v>
      </c>
      <c r="I1625" s="35" t="str">
        <f>IFERROR(_xlfn.XLOOKUP(Table6[[#This Row],[Affected WTG]],'Basic Data'!$A:$A,'Basic Data'!$C:$C),"")</f>
        <v>GEDA</v>
      </c>
      <c r="J1625" s="471">
        <f>IFERROR(_xlfn.XLOOKUP(Table6[[#This Row],[Affected WTG]],'Basic Data'!$A:$A,'Basic Data'!$E:$E),"")</f>
        <v>3.846153846153845E-2</v>
      </c>
      <c r="K1625" s="102">
        <v>6130</v>
      </c>
      <c r="L1625" s="35" t="str">
        <f>IFERROR(_xlfn.XLOOKUP(Table6[[#This Row],[Error Code]],'Basic Data'!$AA:$AA,'Basic Data'!$AB:$AB),"Incorrect Error Code")</f>
        <v>Yaw speed high</v>
      </c>
      <c r="M1625" s="35" t="s">
        <v>291</v>
      </c>
      <c r="N1625" s="475"/>
      <c r="O1625" s="476">
        <v>0.58819444444444446</v>
      </c>
      <c r="P1625" s="476">
        <v>0.58819444444444446</v>
      </c>
      <c r="Q1625" s="477">
        <v>0.58958333333333335</v>
      </c>
      <c r="R1625" s="472">
        <f>IF(Table6[[#This Row],[Work Start TimeStamp]]="","",(Table6[[#This Row],[Work Start TimeStamp]]-Table6[[#This Row],[Fault Start TimeStamp]])*24)</f>
        <v>0</v>
      </c>
      <c r="S1625" s="472">
        <f>(Table6[[#This Row],[Fault Clearance time]]-Table6[[#This Row],[Work Start TimeStamp]])*24</f>
        <v>3.3333333333333215E-2</v>
      </c>
      <c r="T1625" s="472">
        <f>(Table6[[#This Row],[Fault Clearance time]]-Table6[[#This Row],[Fault Start TimeStamp]])*24</f>
        <v>3.3333333333333215E-2</v>
      </c>
      <c r="U1625" s="35" t="s">
        <v>1919</v>
      </c>
      <c r="V1625" s="102" t="s">
        <v>293</v>
      </c>
      <c r="W1625" s="549">
        <f>IFERROR(Table6[[#This Row],[Breakdown Time]]*Table6[[#This Row],[Plant Equivalent Weightage]],"")</f>
        <v>1.2820512820512771E-3</v>
      </c>
      <c r="X1625" s="473" t="s">
        <v>294</v>
      </c>
      <c r="Y1625" s="474" t="s">
        <v>99</v>
      </c>
      <c r="Z1625" s="102">
        <v>36554</v>
      </c>
      <c r="AA1625" s="468">
        <f>(Table6[[#This Row],[Paired WTG Generation for loss calculation]]/24)*Table6[[#This Row],[Breakdown Time]]</f>
        <v>50.769444444444261</v>
      </c>
      <c r="AB1625" s="102"/>
      <c r="AC1625" s="35"/>
      <c r="AD1625" s="35"/>
    </row>
    <row r="1626" spans="1:30">
      <c r="A1626" s="102">
        <f t="shared" si="26"/>
        <v>1625</v>
      </c>
      <c r="B1626" s="468">
        <f>YEAR(Table6[[#This Row],[Date]])+IF(MONTH(Table6[[#This Row],[Date]])&gt;=4,1,0)</f>
        <v>2026</v>
      </c>
      <c r="C1626" s="102">
        <f>YEAR(Table6[[#This Row],[Date]])</f>
        <v>2025</v>
      </c>
      <c r="D1626" s="102" t="s">
        <v>1986</v>
      </c>
      <c r="E1626" s="469">
        <f>Table6[[#This Row],[Date]]-DAY(Table6[[#This Row],[Date]])+1</f>
        <v>45839</v>
      </c>
      <c r="F1626" s="470">
        <v>45864</v>
      </c>
      <c r="G1626" s="35" t="s">
        <v>74</v>
      </c>
      <c r="H1626" s="35" t="str">
        <f>IFERROR(_xlfn.XLOOKUP(Table6[[#This Row],[Affected WTG]],'Basic Data'!$A:$A,'Basic Data'!$B:$B),"")</f>
        <v>TQGXIIPL</v>
      </c>
      <c r="I1626" s="35" t="str">
        <f>IFERROR(_xlfn.XLOOKUP(Table6[[#This Row],[Affected WTG]],'Basic Data'!$A:$A,'Basic Data'!$C:$C),"")</f>
        <v>GEDA</v>
      </c>
      <c r="J1626" s="471">
        <f>IFERROR(_xlfn.XLOOKUP(Table6[[#This Row],[Affected WTG]],'Basic Data'!$A:$A,'Basic Data'!$E:$E),"")</f>
        <v>3.846153846153845E-2</v>
      </c>
      <c r="K1626" s="102">
        <v>6130</v>
      </c>
      <c r="L1626" s="35" t="str">
        <f>IFERROR(_xlfn.XLOOKUP(Table6[[#This Row],[Error Code]],'Basic Data'!$AA:$AA,'Basic Data'!$AB:$AB),"Incorrect Error Code")</f>
        <v>Yaw speed high</v>
      </c>
      <c r="M1626" s="35" t="s">
        <v>291</v>
      </c>
      <c r="N1626" s="475"/>
      <c r="O1626" s="476">
        <v>0.71597222222222223</v>
      </c>
      <c r="P1626" s="476">
        <v>0.71597222222222223</v>
      </c>
      <c r="Q1626" s="477">
        <v>0.72222222222222221</v>
      </c>
      <c r="R1626" s="472">
        <f>IF(Table6[[#This Row],[Work Start TimeStamp]]="","",(Table6[[#This Row],[Work Start TimeStamp]]-Table6[[#This Row],[Fault Start TimeStamp]])*24)</f>
        <v>0</v>
      </c>
      <c r="S1626" s="472">
        <f>(Table6[[#This Row],[Fault Clearance time]]-Table6[[#This Row],[Work Start TimeStamp]])*24</f>
        <v>0.14999999999999947</v>
      </c>
      <c r="T1626" s="472">
        <f>(Table6[[#This Row],[Fault Clearance time]]-Table6[[#This Row],[Fault Start TimeStamp]])*24</f>
        <v>0.14999999999999947</v>
      </c>
      <c r="U1626" s="35" t="s">
        <v>1919</v>
      </c>
      <c r="V1626" s="102" t="s">
        <v>293</v>
      </c>
      <c r="W1626" s="549">
        <f>IFERROR(Table6[[#This Row],[Breakdown Time]]*Table6[[#This Row],[Plant Equivalent Weightage]],"")</f>
        <v>5.769230769230747E-3</v>
      </c>
      <c r="X1626" s="473" t="s">
        <v>294</v>
      </c>
      <c r="Y1626" s="474" t="s">
        <v>99</v>
      </c>
      <c r="Z1626" s="102">
        <v>36554</v>
      </c>
      <c r="AA1626" s="468">
        <f>(Table6[[#This Row],[Paired WTG Generation for loss calculation]]/24)*Table6[[#This Row],[Breakdown Time]]</f>
        <v>228.46249999999918</v>
      </c>
      <c r="AB1626" s="102"/>
      <c r="AC1626" s="35"/>
      <c r="AD1626" s="35"/>
    </row>
    <row r="1627" spans="1:30">
      <c r="A1627" s="102">
        <f t="shared" si="26"/>
        <v>1626</v>
      </c>
      <c r="B1627" s="468">
        <f>YEAR(Table6[[#This Row],[Date]])+IF(MONTH(Table6[[#This Row],[Date]])&gt;=4,1,0)</f>
        <v>2026</v>
      </c>
      <c r="C1627" s="102">
        <f>YEAR(Table6[[#This Row],[Date]])</f>
        <v>2025</v>
      </c>
      <c r="D1627" s="102" t="s">
        <v>1986</v>
      </c>
      <c r="E1627" s="469">
        <f>Table6[[#This Row],[Date]]-DAY(Table6[[#This Row],[Date]])+1</f>
        <v>45839</v>
      </c>
      <c r="F1627" s="470">
        <v>45864</v>
      </c>
      <c r="G1627" s="35" t="s">
        <v>77</v>
      </c>
      <c r="H1627" s="35" t="str">
        <f>IFERROR(_xlfn.XLOOKUP(Table6[[#This Row],[Affected WTG]],'Basic Data'!$A:$A,'Basic Data'!$B:$B),"")</f>
        <v>TQGXIIPL</v>
      </c>
      <c r="I1627" s="35" t="str">
        <f>IFERROR(_xlfn.XLOOKUP(Table6[[#This Row],[Affected WTG]],'Basic Data'!$A:$A,'Basic Data'!$C:$C),"")</f>
        <v>GEDA</v>
      </c>
      <c r="J1627" s="471">
        <f>IFERROR(_xlfn.XLOOKUP(Table6[[#This Row],[Affected WTG]],'Basic Data'!$A:$A,'Basic Data'!$E:$E),"")</f>
        <v>3.846153846153845E-2</v>
      </c>
      <c r="K1627" s="102">
        <v>6130</v>
      </c>
      <c r="L1627" s="35" t="str">
        <f>IFERROR(_xlfn.XLOOKUP(Table6[[#This Row],[Error Code]],'Basic Data'!$AA:$AA,'Basic Data'!$AB:$AB),"Incorrect Error Code")</f>
        <v>Yaw speed high</v>
      </c>
      <c r="M1627" s="35" t="s">
        <v>291</v>
      </c>
      <c r="N1627" s="475"/>
      <c r="O1627" s="476">
        <v>0.48194444444444445</v>
      </c>
      <c r="P1627" s="476">
        <v>0.48194444444444445</v>
      </c>
      <c r="Q1627" s="477">
        <v>0.48333333333333334</v>
      </c>
      <c r="R1627" s="472">
        <f>IF(Table6[[#This Row],[Work Start TimeStamp]]="","",(Table6[[#This Row],[Work Start TimeStamp]]-Table6[[#This Row],[Fault Start TimeStamp]])*24)</f>
        <v>0</v>
      </c>
      <c r="S1627" s="472">
        <f>(Table6[[#This Row],[Fault Clearance time]]-Table6[[#This Row],[Work Start TimeStamp]])*24</f>
        <v>3.3333333333333215E-2</v>
      </c>
      <c r="T1627" s="472">
        <f>(Table6[[#This Row],[Fault Clearance time]]-Table6[[#This Row],[Fault Start TimeStamp]])*24</f>
        <v>3.3333333333333215E-2</v>
      </c>
      <c r="U1627" s="35" t="s">
        <v>1919</v>
      </c>
      <c r="V1627" s="102" t="s">
        <v>293</v>
      </c>
      <c r="W1627" s="549">
        <f>IFERROR(Table6[[#This Row],[Breakdown Time]]*Table6[[#This Row],[Plant Equivalent Weightage]],"")</f>
        <v>1.2820512820512771E-3</v>
      </c>
      <c r="X1627" s="473" t="s">
        <v>294</v>
      </c>
      <c r="Y1627" s="474" t="s">
        <v>80</v>
      </c>
      <c r="Z1627" s="102">
        <v>35002</v>
      </c>
      <c r="AA1627" s="468">
        <f>(Table6[[#This Row],[Paired WTG Generation for loss calculation]]/24)*Table6[[#This Row],[Breakdown Time]]</f>
        <v>48.613888888888717</v>
      </c>
      <c r="AB1627" s="102"/>
      <c r="AC1627" s="35"/>
      <c r="AD1627" s="35"/>
    </row>
    <row r="1628" spans="1:30">
      <c r="A1628" s="102">
        <f t="shared" si="26"/>
        <v>1627</v>
      </c>
      <c r="B1628" s="468">
        <f>YEAR(Table6[[#This Row],[Date]])+IF(MONTH(Table6[[#This Row],[Date]])&gt;=4,1,0)</f>
        <v>2026</v>
      </c>
      <c r="C1628" s="102">
        <f>YEAR(Table6[[#This Row],[Date]])</f>
        <v>2025</v>
      </c>
      <c r="D1628" s="102" t="s">
        <v>1986</v>
      </c>
      <c r="E1628" s="469">
        <f>Table6[[#This Row],[Date]]-DAY(Table6[[#This Row],[Date]])+1</f>
        <v>45839</v>
      </c>
      <c r="F1628" s="470">
        <v>45864</v>
      </c>
      <c r="G1628" s="35" t="s">
        <v>77</v>
      </c>
      <c r="H1628" s="35" t="str">
        <f>IFERROR(_xlfn.XLOOKUP(Table6[[#This Row],[Affected WTG]],'Basic Data'!$A:$A,'Basic Data'!$B:$B),"")</f>
        <v>TQGXIIPL</v>
      </c>
      <c r="I1628" s="35" t="str">
        <f>IFERROR(_xlfn.XLOOKUP(Table6[[#This Row],[Affected WTG]],'Basic Data'!$A:$A,'Basic Data'!$C:$C),"")</f>
        <v>GEDA</v>
      </c>
      <c r="J1628" s="471">
        <f>IFERROR(_xlfn.XLOOKUP(Table6[[#This Row],[Affected WTG]],'Basic Data'!$A:$A,'Basic Data'!$E:$E),"")</f>
        <v>3.846153846153845E-2</v>
      </c>
      <c r="K1628" s="102">
        <v>6130</v>
      </c>
      <c r="L1628" s="35" t="str">
        <f>IFERROR(_xlfn.XLOOKUP(Table6[[#This Row],[Error Code]],'Basic Data'!$AA:$AA,'Basic Data'!$AB:$AB),"Incorrect Error Code")</f>
        <v>Yaw speed high</v>
      </c>
      <c r="M1628" s="35" t="s">
        <v>291</v>
      </c>
      <c r="N1628" s="475"/>
      <c r="O1628" s="476">
        <v>0.71388888888888891</v>
      </c>
      <c r="P1628" s="476">
        <v>0.71388888888888891</v>
      </c>
      <c r="Q1628" s="477">
        <v>0.72222222222222221</v>
      </c>
      <c r="R1628" s="472">
        <f>IF(Table6[[#This Row],[Work Start TimeStamp]]="","",(Table6[[#This Row],[Work Start TimeStamp]]-Table6[[#This Row],[Fault Start TimeStamp]])*24)</f>
        <v>0</v>
      </c>
      <c r="S1628" s="472">
        <f>(Table6[[#This Row],[Fault Clearance time]]-Table6[[#This Row],[Work Start TimeStamp]])*24</f>
        <v>0.19999999999999929</v>
      </c>
      <c r="T1628" s="472">
        <f>(Table6[[#This Row],[Fault Clearance time]]-Table6[[#This Row],[Fault Start TimeStamp]])*24</f>
        <v>0.19999999999999929</v>
      </c>
      <c r="U1628" s="35" t="s">
        <v>1919</v>
      </c>
      <c r="V1628" s="102" t="s">
        <v>293</v>
      </c>
      <c r="W1628" s="549">
        <f>IFERROR(Table6[[#This Row],[Breakdown Time]]*Table6[[#This Row],[Plant Equivalent Weightage]],"")</f>
        <v>7.6923076923076624E-3</v>
      </c>
      <c r="X1628" s="473" t="s">
        <v>294</v>
      </c>
      <c r="Y1628" s="474" t="s">
        <v>80</v>
      </c>
      <c r="Z1628" s="102">
        <v>35002</v>
      </c>
      <c r="AA1628" s="468">
        <f>(Table6[[#This Row],[Paired WTG Generation for loss calculation]]/24)*Table6[[#This Row],[Breakdown Time]]</f>
        <v>291.68333333333231</v>
      </c>
      <c r="AB1628" s="102"/>
      <c r="AC1628" s="35"/>
      <c r="AD1628" s="35"/>
    </row>
    <row r="1629" spans="1:30">
      <c r="A1629" s="102">
        <f t="shared" si="26"/>
        <v>1628</v>
      </c>
      <c r="B1629" s="468">
        <f>YEAR(Table6[[#This Row],[Date]])+IF(MONTH(Table6[[#This Row],[Date]])&gt;=4,1,0)</f>
        <v>2026</v>
      </c>
      <c r="C1629" s="102">
        <f>YEAR(Table6[[#This Row],[Date]])</f>
        <v>2025</v>
      </c>
      <c r="D1629" s="102" t="s">
        <v>1986</v>
      </c>
      <c r="E1629" s="469">
        <f>Table6[[#This Row],[Date]]-DAY(Table6[[#This Row],[Date]])+1</f>
        <v>45839</v>
      </c>
      <c r="F1629" s="470">
        <v>45864</v>
      </c>
      <c r="G1629" s="35" t="s">
        <v>85</v>
      </c>
      <c r="H1629" s="35" t="str">
        <f>IFERROR(_xlfn.XLOOKUP(Table6[[#This Row],[Affected WTG]],'Basic Data'!$A:$A,'Basic Data'!$B:$B),"")</f>
        <v>TQGXIIPL</v>
      </c>
      <c r="I1629" s="35" t="str">
        <f>IFERROR(_xlfn.XLOOKUP(Table6[[#This Row],[Affected WTG]],'Basic Data'!$A:$A,'Basic Data'!$C:$C),"")</f>
        <v>GEDA</v>
      </c>
      <c r="J1629" s="471">
        <f>IFERROR(_xlfn.XLOOKUP(Table6[[#This Row],[Affected WTG]],'Basic Data'!$A:$A,'Basic Data'!$E:$E),"")</f>
        <v>3.846153846153845E-2</v>
      </c>
      <c r="K1629" s="102">
        <v>55</v>
      </c>
      <c r="L1629" s="35" t="str">
        <f>IFERROR(_xlfn.XLOOKUP(Table6[[#This Row],[Error Code]],'Basic Data'!$AA:$AA,'Basic Data'!$AB:$AB),"Incorrect Error Code")</f>
        <v>WTG shut down</v>
      </c>
      <c r="M1629" s="35" t="s">
        <v>291</v>
      </c>
      <c r="N1629" s="475"/>
      <c r="O1629" s="476">
        <v>0.47430555555555554</v>
      </c>
      <c r="P1629" s="476">
        <v>0.47430555555555554</v>
      </c>
      <c r="Q1629" s="477">
        <v>0.4826388888888889</v>
      </c>
      <c r="R1629" s="472">
        <f>IF(Table6[[#This Row],[Work Start TimeStamp]]="","",(Table6[[#This Row],[Work Start TimeStamp]]-Table6[[#This Row],[Fault Start TimeStamp]])*24)</f>
        <v>0</v>
      </c>
      <c r="S1629" s="472">
        <f>(Table6[[#This Row],[Fault Clearance time]]-Table6[[#This Row],[Work Start TimeStamp]])*24</f>
        <v>0.20000000000000062</v>
      </c>
      <c r="T1629" s="472">
        <f>(Table6[[#This Row],[Fault Clearance time]]-Table6[[#This Row],[Fault Start TimeStamp]])*24</f>
        <v>0.20000000000000062</v>
      </c>
      <c r="U1629" s="35" t="s">
        <v>2109</v>
      </c>
      <c r="V1629" s="102" t="s">
        <v>293</v>
      </c>
      <c r="W1629" s="549">
        <f>IFERROR(Table6[[#This Row],[Breakdown Time]]*Table6[[#This Row],[Plant Equivalent Weightage]],"")</f>
        <v>7.6923076923077136E-3</v>
      </c>
      <c r="X1629" s="473" t="s">
        <v>290</v>
      </c>
      <c r="Y1629" s="474" t="s">
        <v>77</v>
      </c>
      <c r="Z1629" s="102">
        <v>33848</v>
      </c>
      <c r="AA1629" s="468">
        <f>(Table6[[#This Row],[Paired WTG Generation for loss calculation]]/24)*Table6[[#This Row],[Breakdown Time]]</f>
        <v>282.06666666666752</v>
      </c>
      <c r="AB1629" s="102"/>
      <c r="AC1629" s="35"/>
      <c r="AD1629" s="35"/>
    </row>
    <row r="1630" spans="1:30">
      <c r="A1630" s="102">
        <f t="shared" si="26"/>
        <v>1629</v>
      </c>
      <c r="B1630" s="468">
        <f>YEAR(Table6[[#This Row],[Date]])+IF(MONTH(Table6[[#This Row],[Date]])&gt;=4,1,0)</f>
        <v>2026</v>
      </c>
      <c r="C1630" s="102">
        <f>YEAR(Table6[[#This Row],[Date]])</f>
        <v>2025</v>
      </c>
      <c r="D1630" s="102" t="s">
        <v>1986</v>
      </c>
      <c r="E1630" s="469">
        <f>Table6[[#This Row],[Date]]-DAY(Table6[[#This Row],[Date]])+1</f>
        <v>45839</v>
      </c>
      <c r="F1630" s="470">
        <v>45865</v>
      </c>
      <c r="G1630" s="35" t="s">
        <v>74</v>
      </c>
      <c r="H1630" s="35" t="str">
        <f>IFERROR(_xlfn.XLOOKUP(Table6[[#This Row],[Affected WTG]],'Basic Data'!$A:$A,'Basic Data'!$B:$B),"")</f>
        <v>TQGXIIPL</v>
      </c>
      <c r="I1630" s="35" t="str">
        <f>IFERROR(_xlfn.XLOOKUP(Table6[[#This Row],[Affected WTG]],'Basic Data'!$A:$A,'Basic Data'!$C:$C),"")</f>
        <v>GEDA</v>
      </c>
      <c r="J1630" s="471">
        <f>IFERROR(_xlfn.XLOOKUP(Table6[[#This Row],[Affected WTG]],'Basic Data'!$A:$A,'Basic Data'!$E:$E),"")</f>
        <v>3.846153846153845E-2</v>
      </c>
      <c r="K1630" s="102">
        <v>3211</v>
      </c>
      <c r="L1630" s="35" t="str">
        <f>IFERROR(_xlfn.XLOOKUP(Table6[[#This Row],[Error Code]],'Basic Data'!$AA:$AA,'Basic Data'!$AB:$AB),"Incorrect Error Code")</f>
        <v>Conv. load shedding (CAN)</v>
      </c>
      <c r="M1630" s="35" t="s">
        <v>291</v>
      </c>
      <c r="N1630" s="475"/>
      <c r="O1630" s="476">
        <v>0.25138888888888888</v>
      </c>
      <c r="P1630" s="476">
        <v>0.25138888888888888</v>
      </c>
      <c r="Q1630" s="477">
        <v>0.25416666666666665</v>
      </c>
      <c r="R1630" s="472">
        <f>IF(Table6[[#This Row],[Work Start TimeStamp]]="","",(Table6[[#This Row],[Work Start TimeStamp]]-Table6[[#This Row],[Fault Start TimeStamp]])*24)</f>
        <v>0</v>
      </c>
      <c r="S1630" s="472">
        <f>(Table6[[#This Row],[Fault Clearance time]]-Table6[[#This Row],[Work Start TimeStamp]])*24</f>
        <v>6.666666666666643E-2</v>
      </c>
      <c r="T1630" s="472">
        <f>(Table6[[#This Row],[Fault Clearance time]]-Table6[[#This Row],[Fault Start TimeStamp]])*24</f>
        <v>6.666666666666643E-2</v>
      </c>
      <c r="U1630" s="35" t="s">
        <v>1919</v>
      </c>
      <c r="V1630" s="102" t="s">
        <v>293</v>
      </c>
      <c r="W1630" s="549">
        <f>IFERROR(Table6[[#This Row],[Breakdown Time]]*Table6[[#This Row],[Plant Equivalent Weightage]],"")</f>
        <v>2.5641025641025541E-3</v>
      </c>
      <c r="X1630" s="473" t="s">
        <v>294</v>
      </c>
      <c r="Y1630" s="474" t="s">
        <v>99</v>
      </c>
      <c r="Z1630" s="102">
        <v>55064</v>
      </c>
      <c r="AA1630" s="468">
        <f>(Table6[[#This Row],[Paired WTG Generation for loss calculation]]/24)*Table6[[#This Row],[Breakdown Time]]</f>
        <v>152.95555555555501</v>
      </c>
      <c r="AB1630" s="102"/>
      <c r="AC1630" s="35"/>
      <c r="AD1630" s="35"/>
    </row>
    <row r="1631" spans="1:30">
      <c r="A1631" s="102">
        <f t="shared" si="26"/>
        <v>1630</v>
      </c>
      <c r="B1631" s="468">
        <f>YEAR(Table6[[#This Row],[Date]])+IF(MONTH(Table6[[#This Row],[Date]])&gt;=4,1,0)</f>
        <v>2026</v>
      </c>
      <c r="C1631" s="102">
        <f>YEAR(Table6[[#This Row],[Date]])</f>
        <v>2025</v>
      </c>
      <c r="D1631" s="102" t="s">
        <v>1986</v>
      </c>
      <c r="E1631" s="469">
        <f>Table6[[#This Row],[Date]]-DAY(Table6[[#This Row],[Date]])+1</f>
        <v>45839</v>
      </c>
      <c r="F1631" s="470">
        <v>45865</v>
      </c>
      <c r="G1631" s="35" t="s">
        <v>74</v>
      </c>
      <c r="H1631" s="35" t="str">
        <f>IFERROR(_xlfn.XLOOKUP(Table6[[#This Row],[Affected WTG]],'Basic Data'!$A:$A,'Basic Data'!$B:$B),"")</f>
        <v>TQGXIIPL</v>
      </c>
      <c r="I1631" s="35" t="str">
        <f>IFERROR(_xlfn.XLOOKUP(Table6[[#This Row],[Affected WTG]],'Basic Data'!$A:$A,'Basic Data'!$C:$C),"")</f>
        <v>GEDA</v>
      </c>
      <c r="J1631" s="471">
        <f>IFERROR(_xlfn.XLOOKUP(Table6[[#This Row],[Affected WTG]],'Basic Data'!$A:$A,'Basic Data'!$E:$E),"")</f>
        <v>3.846153846153845E-2</v>
      </c>
      <c r="K1631" s="102">
        <v>6130</v>
      </c>
      <c r="L1631" s="35" t="str">
        <f>IFERROR(_xlfn.XLOOKUP(Table6[[#This Row],[Error Code]],'Basic Data'!$AA:$AA,'Basic Data'!$AB:$AB),"Incorrect Error Code")</f>
        <v>Yaw speed high</v>
      </c>
      <c r="M1631" s="35" t="s">
        <v>291</v>
      </c>
      <c r="N1631" s="475"/>
      <c r="O1631" s="476">
        <v>0.62638888888888888</v>
      </c>
      <c r="P1631" s="476">
        <v>0.62638888888888888</v>
      </c>
      <c r="Q1631" s="477">
        <v>0.62708333333333333</v>
      </c>
      <c r="R1631" s="472">
        <f>IF(Table6[[#This Row],[Work Start TimeStamp]]="","",(Table6[[#This Row],[Work Start TimeStamp]]-Table6[[#This Row],[Fault Start TimeStamp]])*24)</f>
        <v>0</v>
      </c>
      <c r="S1631" s="472">
        <f>(Table6[[#This Row],[Fault Clearance time]]-Table6[[#This Row],[Work Start TimeStamp]])*24</f>
        <v>1.6666666666666607E-2</v>
      </c>
      <c r="T1631" s="472">
        <f>(Table6[[#This Row],[Fault Clearance time]]-Table6[[#This Row],[Fault Start TimeStamp]])*24</f>
        <v>1.6666666666666607E-2</v>
      </c>
      <c r="U1631" s="35" t="s">
        <v>1919</v>
      </c>
      <c r="V1631" s="102" t="s">
        <v>293</v>
      </c>
      <c r="W1631" s="549">
        <f>IFERROR(Table6[[#This Row],[Breakdown Time]]*Table6[[#This Row],[Plant Equivalent Weightage]],"")</f>
        <v>6.4102564102563853E-4</v>
      </c>
      <c r="X1631" s="473" t="s">
        <v>294</v>
      </c>
      <c r="Y1631" s="474" t="s">
        <v>99</v>
      </c>
      <c r="Z1631" s="102">
        <v>55064</v>
      </c>
      <c r="AA1631" s="468">
        <f>(Table6[[#This Row],[Paired WTG Generation for loss calculation]]/24)*Table6[[#This Row],[Breakdown Time]]</f>
        <v>38.238888888888752</v>
      </c>
      <c r="AB1631" s="102"/>
      <c r="AC1631" s="35"/>
      <c r="AD1631" s="35"/>
    </row>
    <row r="1632" spans="1:30">
      <c r="A1632" s="102">
        <f t="shared" si="26"/>
        <v>1631</v>
      </c>
      <c r="B1632" s="468">
        <f>YEAR(Table6[[#This Row],[Date]])+IF(MONTH(Table6[[#This Row],[Date]])&gt;=4,1,0)</f>
        <v>2026</v>
      </c>
      <c r="C1632" s="102">
        <f>YEAR(Table6[[#This Row],[Date]])</f>
        <v>2025</v>
      </c>
      <c r="D1632" s="102" t="s">
        <v>1986</v>
      </c>
      <c r="E1632" s="469">
        <f>Table6[[#This Row],[Date]]-DAY(Table6[[#This Row],[Date]])+1</f>
        <v>45839</v>
      </c>
      <c r="F1632" s="470">
        <v>45865</v>
      </c>
      <c r="G1632" s="35" t="s">
        <v>75</v>
      </c>
      <c r="H1632" s="35" t="str">
        <f>IFERROR(_xlfn.XLOOKUP(Table6[[#This Row],[Affected WTG]],'Basic Data'!$A:$A,'Basic Data'!$B:$B),"")</f>
        <v>TQGXIIPL</v>
      </c>
      <c r="I1632" s="35" t="str">
        <f>IFERROR(_xlfn.XLOOKUP(Table6[[#This Row],[Affected WTG]],'Basic Data'!$A:$A,'Basic Data'!$C:$C),"")</f>
        <v>GEDA</v>
      </c>
      <c r="J1632" s="471">
        <f>IFERROR(_xlfn.XLOOKUP(Table6[[#This Row],[Affected WTG]],'Basic Data'!$A:$A,'Basic Data'!$E:$E),"")</f>
        <v>3.846153846153845E-2</v>
      </c>
      <c r="K1632" s="102">
        <v>1070</v>
      </c>
      <c r="L1632" s="35" t="str">
        <f>IFERROR(_xlfn.XLOOKUP(Table6[[#This Row],[Error Code]],'Basic Data'!$AA:$AA,'Basic Data'!$AB:$AB),"Incorrect Error Code")</f>
        <v>Drive train monitor level 2</v>
      </c>
      <c r="M1632" s="35" t="s">
        <v>291</v>
      </c>
      <c r="N1632" s="475"/>
      <c r="O1632" s="476">
        <v>0.24374999999999999</v>
      </c>
      <c r="P1632" s="476">
        <v>0.24374999999999999</v>
      </c>
      <c r="Q1632" s="477">
        <v>0.24444444444444444</v>
      </c>
      <c r="R1632" s="472">
        <f>IF(Table6[[#This Row],[Work Start TimeStamp]]="","",(Table6[[#This Row],[Work Start TimeStamp]]-Table6[[#This Row],[Fault Start TimeStamp]])*24)</f>
        <v>0</v>
      </c>
      <c r="S1632" s="472">
        <f>(Table6[[#This Row],[Fault Clearance time]]-Table6[[#This Row],[Work Start TimeStamp]])*24</f>
        <v>1.6666666666666607E-2</v>
      </c>
      <c r="T1632" s="472">
        <f>(Table6[[#This Row],[Fault Clearance time]]-Table6[[#This Row],[Fault Start TimeStamp]])*24</f>
        <v>1.6666666666666607E-2</v>
      </c>
      <c r="U1632" s="35" t="s">
        <v>1919</v>
      </c>
      <c r="V1632" s="102" t="s">
        <v>293</v>
      </c>
      <c r="W1632" s="549">
        <f>IFERROR(Table6[[#This Row],[Breakdown Time]]*Table6[[#This Row],[Plant Equivalent Weightage]],"")</f>
        <v>6.4102564102563853E-4</v>
      </c>
      <c r="X1632" s="473" t="s">
        <v>294</v>
      </c>
      <c r="Y1632" s="474" t="s">
        <v>78</v>
      </c>
      <c r="Z1632" s="102">
        <v>54230</v>
      </c>
      <c r="AA1632" s="468">
        <f>(Table6[[#This Row],[Paired WTG Generation for loss calculation]]/24)*Table6[[#This Row],[Breakdown Time]]</f>
        <v>37.659722222222094</v>
      </c>
      <c r="AB1632" s="102"/>
      <c r="AC1632" s="35"/>
      <c r="AD1632" s="35"/>
    </row>
    <row r="1633" spans="1:30">
      <c r="A1633" s="102">
        <f t="shared" si="26"/>
        <v>1632</v>
      </c>
      <c r="B1633" s="468">
        <f>YEAR(Table6[[#This Row],[Date]])+IF(MONTH(Table6[[#This Row],[Date]])&gt;=4,1,0)</f>
        <v>2026</v>
      </c>
      <c r="C1633" s="102">
        <f>YEAR(Table6[[#This Row],[Date]])</f>
        <v>2025</v>
      </c>
      <c r="D1633" s="102" t="s">
        <v>1986</v>
      </c>
      <c r="E1633" s="469">
        <f>Table6[[#This Row],[Date]]-DAY(Table6[[#This Row],[Date]])+1</f>
        <v>45839</v>
      </c>
      <c r="F1633" s="470">
        <v>45865</v>
      </c>
      <c r="G1633" s="35" t="s">
        <v>75</v>
      </c>
      <c r="H1633" s="35" t="str">
        <f>IFERROR(_xlfn.XLOOKUP(Table6[[#This Row],[Affected WTG]],'Basic Data'!$A:$A,'Basic Data'!$B:$B),"")</f>
        <v>TQGXIIPL</v>
      </c>
      <c r="I1633" s="35" t="str">
        <f>IFERROR(_xlfn.XLOOKUP(Table6[[#This Row],[Affected WTG]],'Basic Data'!$A:$A,'Basic Data'!$C:$C),"")</f>
        <v>GEDA</v>
      </c>
      <c r="J1633" s="471">
        <f>IFERROR(_xlfn.XLOOKUP(Table6[[#This Row],[Affected WTG]],'Basic Data'!$A:$A,'Basic Data'!$E:$E),"")</f>
        <v>3.846153846153845E-2</v>
      </c>
      <c r="K1633" s="102">
        <v>1070</v>
      </c>
      <c r="L1633" s="35" t="str">
        <f>IFERROR(_xlfn.XLOOKUP(Table6[[#This Row],[Error Code]],'Basic Data'!$AA:$AA,'Basic Data'!$AB:$AB),"Incorrect Error Code")</f>
        <v>Drive train monitor level 2</v>
      </c>
      <c r="M1633" s="35" t="s">
        <v>291</v>
      </c>
      <c r="N1633" s="475"/>
      <c r="O1633" s="476">
        <v>0.26111111111111113</v>
      </c>
      <c r="P1633" s="476">
        <v>0.26111111111111113</v>
      </c>
      <c r="Q1633" s="477">
        <v>0.26180555555555557</v>
      </c>
      <c r="R1633" s="472">
        <f>IF(Table6[[#This Row],[Work Start TimeStamp]]="","",(Table6[[#This Row],[Work Start TimeStamp]]-Table6[[#This Row],[Fault Start TimeStamp]])*24)</f>
        <v>0</v>
      </c>
      <c r="S1633" s="472">
        <f>(Table6[[#This Row],[Fault Clearance time]]-Table6[[#This Row],[Work Start TimeStamp]])*24</f>
        <v>1.6666666666666607E-2</v>
      </c>
      <c r="T1633" s="472">
        <f>(Table6[[#This Row],[Fault Clearance time]]-Table6[[#This Row],[Fault Start TimeStamp]])*24</f>
        <v>1.6666666666666607E-2</v>
      </c>
      <c r="U1633" s="35" t="s">
        <v>1919</v>
      </c>
      <c r="V1633" s="102" t="s">
        <v>293</v>
      </c>
      <c r="W1633" s="549">
        <f>IFERROR(Table6[[#This Row],[Breakdown Time]]*Table6[[#This Row],[Plant Equivalent Weightage]],"")</f>
        <v>6.4102564102563853E-4</v>
      </c>
      <c r="X1633" s="473" t="s">
        <v>294</v>
      </c>
      <c r="Y1633" s="474" t="s">
        <v>78</v>
      </c>
      <c r="Z1633" s="102">
        <v>54230</v>
      </c>
      <c r="AA1633" s="468">
        <f>(Table6[[#This Row],[Paired WTG Generation for loss calculation]]/24)*Table6[[#This Row],[Breakdown Time]]</f>
        <v>37.659722222222094</v>
      </c>
      <c r="AB1633" s="102"/>
      <c r="AC1633" s="35"/>
      <c r="AD1633" s="35"/>
    </row>
    <row r="1634" spans="1:30">
      <c r="A1634" s="102">
        <f t="shared" si="26"/>
        <v>1633</v>
      </c>
      <c r="B1634" s="468">
        <f>YEAR(Table6[[#This Row],[Date]])+IF(MONTH(Table6[[#This Row],[Date]])&gt;=4,1,0)</f>
        <v>2026</v>
      </c>
      <c r="C1634" s="102">
        <f>YEAR(Table6[[#This Row],[Date]])</f>
        <v>2025</v>
      </c>
      <c r="D1634" s="102" t="s">
        <v>1986</v>
      </c>
      <c r="E1634" s="469">
        <f>Table6[[#This Row],[Date]]-DAY(Table6[[#This Row],[Date]])+1</f>
        <v>45839</v>
      </c>
      <c r="F1634" s="470">
        <v>45865</v>
      </c>
      <c r="G1634" s="35" t="s">
        <v>86</v>
      </c>
      <c r="H1634" s="35" t="str">
        <f>IFERROR(_xlfn.XLOOKUP(Table6[[#This Row],[Affected WTG]],'Basic Data'!$A:$A,'Basic Data'!$B:$B),"")</f>
        <v>TQGXIIPL</v>
      </c>
      <c r="I1634" s="35" t="str">
        <f>IFERROR(_xlfn.XLOOKUP(Table6[[#This Row],[Affected WTG]],'Basic Data'!$A:$A,'Basic Data'!$C:$C),"")</f>
        <v>GEDA</v>
      </c>
      <c r="J1634" s="471">
        <f>IFERROR(_xlfn.XLOOKUP(Table6[[#This Row],[Affected WTG]],'Basic Data'!$A:$A,'Basic Data'!$E:$E),"")</f>
        <v>3.846153846153845E-2</v>
      </c>
      <c r="K1634" s="102">
        <v>6130</v>
      </c>
      <c r="L1634" s="35" t="str">
        <f>IFERROR(_xlfn.XLOOKUP(Table6[[#This Row],[Error Code]],'Basic Data'!$AA:$AA,'Basic Data'!$AB:$AB),"Incorrect Error Code")</f>
        <v>Yaw speed high</v>
      </c>
      <c r="M1634" s="35" t="s">
        <v>291</v>
      </c>
      <c r="N1634" s="475"/>
      <c r="O1634" s="476">
        <v>0.31527777777777777</v>
      </c>
      <c r="P1634" s="476">
        <v>0.31527777777777777</v>
      </c>
      <c r="Q1634" s="477">
        <v>0.31805555555555554</v>
      </c>
      <c r="R1634" s="472">
        <f>IF(Table6[[#This Row],[Work Start TimeStamp]]="","",(Table6[[#This Row],[Work Start TimeStamp]]-Table6[[#This Row],[Fault Start TimeStamp]])*24)</f>
        <v>0</v>
      </c>
      <c r="S1634" s="472">
        <f>(Table6[[#This Row],[Fault Clearance time]]-Table6[[#This Row],[Work Start TimeStamp]])*24</f>
        <v>6.666666666666643E-2</v>
      </c>
      <c r="T1634" s="472">
        <f>(Table6[[#This Row],[Fault Clearance time]]-Table6[[#This Row],[Fault Start TimeStamp]])*24</f>
        <v>6.666666666666643E-2</v>
      </c>
      <c r="U1634" s="35" t="s">
        <v>1919</v>
      </c>
      <c r="V1634" s="102" t="s">
        <v>293</v>
      </c>
      <c r="W1634" s="549">
        <f>IFERROR(Table6[[#This Row],[Breakdown Time]]*Table6[[#This Row],[Plant Equivalent Weightage]],"")</f>
        <v>2.5641025641025541E-3</v>
      </c>
      <c r="X1634" s="473" t="s">
        <v>294</v>
      </c>
      <c r="Y1634" s="474" t="s">
        <v>84</v>
      </c>
      <c r="Z1634" s="102">
        <v>52508</v>
      </c>
      <c r="AA1634" s="468">
        <f>(Table6[[#This Row],[Paired WTG Generation for loss calculation]]/24)*Table6[[#This Row],[Breakdown Time]]</f>
        <v>145.85555555555504</v>
      </c>
      <c r="AB1634" s="102"/>
      <c r="AC1634" s="35"/>
      <c r="AD1634" s="35"/>
    </row>
    <row r="1635" spans="1:30">
      <c r="A1635" s="102">
        <f t="shared" si="26"/>
        <v>1634</v>
      </c>
      <c r="B1635" s="468">
        <f>YEAR(Table6[[#This Row],[Date]])+IF(MONTH(Table6[[#This Row],[Date]])&gt;=4,1,0)</f>
        <v>2026</v>
      </c>
      <c r="C1635" s="102">
        <f>YEAR(Table6[[#This Row],[Date]])</f>
        <v>2025</v>
      </c>
      <c r="D1635" s="102" t="s">
        <v>1986</v>
      </c>
      <c r="E1635" s="469">
        <f>Table6[[#This Row],[Date]]-DAY(Table6[[#This Row],[Date]])+1</f>
        <v>45839</v>
      </c>
      <c r="F1635" s="470">
        <v>45865</v>
      </c>
      <c r="G1635" s="35" t="s">
        <v>98</v>
      </c>
      <c r="H1635" s="35" t="str">
        <f>IFERROR(_xlfn.XLOOKUP(Table6[[#This Row],[Affected WTG]],'Basic Data'!$A:$A,'Basic Data'!$B:$B),"")</f>
        <v>TQGXIIPL</v>
      </c>
      <c r="I1635" s="35" t="str">
        <f>IFERROR(_xlfn.XLOOKUP(Table6[[#This Row],[Affected WTG]],'Basic Data'!$A:$A,'Basic Data'!$C:$C),"")</f>
        <v>GEDA</v>
      </c>
      <c r="J1635" s="471">
        <f>IFERROR(_xlfn.XLOOKUP(Table6[[#This Row],[Affected WTG]],'Basic Data'!$A:$A,'Basic Data'!$E:$E),"")</f>
        <v>3.846153846153845E-2</v>
      </c>
      <c r="K1635" s="102">
        <v>3211</v>
      </c>
      <c r="L1635" s="35" t="str">
        <f>IFERROR(_xlfn.XLOOKUP(Table6[[#This Row],[Error Code]],'Basic Data'!$AA:$AA,'Basic Data'!$AB:$AB),"Incorrect Error Code")</f>
        <v>Conv. load shedding (CAN)</v>
      </c>
      <c r="M1635" s="35" t="s">
        <v>291</v>
      </c>
      <c r="N1635" s="475"/>
      <c r="O1635" s="476">
        <v>0.17291666666666666</v>
      </c>
      <c r="P1635" s="476">
        <v>0.17291666666666666</v>
      </c>
      <c r="Q1635" s="477">
        <v>0.20833333333333334</v>
      </c>
      <c r="R1635" s="472">
        <f>IF(Table6[[#This Row],[Work Start TimeStamp]]="","",(Table6[[#This Row],[Work Start TimeStamp]]-Table6[[#This Row],[Fault Start TimeStamp]])*24)</f>
        <v>0</v>
      </c>
      <c r="S1635" s="472">
        <f>(Table6[[#This Row],[Fault Clearance time]]-Table6[[#This Row],[Work Start TimeStamp]])*24</f>
        <v>0.85000000000000031</v>
      </c>
      <c r="T1635" s="472">
        <f>(Table6[[#This Row],[Fault Clearance time]]-Table6[[#This Row],[Fault Start TimeStamp]])*24</f>
        <v>0.85000000000000031</v>
      </c>
      <c r="U1635" s="35" t="s">
        <v>2110</v>
      </c>
      <c r="V1635" s="102" t="s">
        <v>293</v>
      </c>
      <c r="W1635" s="549">
        <f>IFERROR(Table6[[#This Row],[Breakdown Time]]*Table6[[#This Row],[Plant Equivalent Weightage]],"")</f>
        <v>3.2692307692307694E-2</v>
      </c>
      <c r="X1635" s="473" t="s">
        <v>294</v>
      </c>
      <c r="Y1635" s="474" t="s">
        <v>74</v>
      </c>
      <c r="Z1635" s="102">
        <v>51776</v>
      </c>
      <c r="AA1635" s="468">
        <f>(Table6[[#This Row],[Paired WTG Generation for loss calculation]]/24)*Table6[[#This Row],[Breakdown Time]]</f>
        <v>1833.733333333334</v>
      </c>
      <c r="AB1635" s="102"/>
      <c r="AC1635" s="35"/>
      <c r="AD1635" s="35"/>
    </row>
    <row r="1636" spans="1:30">
      <c r="A1636" s="102">
        <f t="shared" si="26"/>
        <v>1635</v>
      </c>
      <c r="B1636" s="468">
        <f>YEAR(Table6[[#This Row],[Date]])+IF(MONTH(Table6[[#This Row],[Date]])&gt;=4,1,0)</f>
        <v>2026</v>
      </c>
      <c r="C1636" s="102">
        <f>YEAR(Table6[[#This Row],[Date]])</f>
        <v>2025</v>
      </c>
      <c r="D1636" s="102" t="s">
        <v>1986</v>
      </c>
      <c r="E1636" s="469">
        <f>Table6[[#This Row],[Date]]-DAY(Table6[[#This Row],[Date]])+1</f>
        <v>45839</v>
      </c>
      <c r="F1636" s="470">
        <v>45865</v>
      </c>
      <c r="G1636" s="35" t="s">
        <v>77</v>
      </c>
      <c r="H1636" s="35" t="str">
        <f>IFERROR(_xlfn.XLOOKUP(Table6[[#This Row],[Affected WTG]],'Basic Data'!$A:$A,'Basic Data'!$B:$B),"")</f>
        <v>TQGXIIPL</v>
      </c>
      <c r="I1636" s="35" t="str">
        <f>IFERROR(_xlfn.XLOOKUP(Table6[[#This Row],[Affected WTG]],'Basic Data'!$A:$A,'Basic Data'!$C:$C),"")</f>
        <v>GEDA</v>
      </c>
      <c r="J1636" s="471">
        <f>IFERROR(_xlfn.XLOOKUP(Table6[[#This Row],[Affected WTG]],'Basic Data'!$A:$A,'Basic Data'!$E:$E),"")</f>
        <v>3.846153846153845E-2</v>
      </c>
      <c r="K1636" s="102">
        <v>6130</v>
      </c>
      <c r="L1636" s="35" t="str">
        <f>IFERROR(_xlfn.XLOOKUP(Table6[[#This Row],[Error Code]],'Basic Data'!$AA:$AA,'Basic Data'!$AB:$AB),"Incorrect Error Code")</f>
        <v>Yaw speed high</v>
      </c>
      <c r="M1636" s="35" t="s">
        <v>292</v>
      </c>
      <c r="N1636" s="475"/>
      <c r="O1636" s="476">
        <v>0.81736111111111109</v>
      </c>
      <c r="P1636" s="476">
        <v>0.81736111111111109</v>
      </c>
      <c r="Q1636" s="477">
        <v>0.82152777777777775</v>
      </c>
      <c r="R1636" s="472">
        <f>IF(Table6[[#This Row],[Work Start TimeStamp]]="","",(Table6[[#This Row],[Work Start TimeStamp]]-Table6[[#This Row],[Fault Start TimeStamp]])*24)</f>
        <v>0</v>
      </c>
      <c r="S1636" s="472">
        <f>(Table6[[#This Row],[Fault Clearance time]]-Table6[[#This Row],[Work Start TimeStamp]])*24</f>
        <v>9.9999999999999645E-2</v>
      </c>
      <c r="T1636" s="472">
        <f>(Table6[[#This Row],[Fault Clearance time]]-Table6[[#This Row],[Fault Start TimeStamp]])*24</f>
        <v>9.9999999999999645E-2</v>
      </c>
      <c r="U1636" s="35" t="s">
        <v>336</v>
      </c>
      <c r="V1636" s="102" t="s">
        <v>293</v>
      </c>
      <c r="W1636" s="549">
        <f>IFERROR(Table6[[#This Row],[Breakdown Time]]*Table6[[#This Row],[Plant Equivalent Weightage]],"")</f>
        <v>3.8461538461538312E-3</v>
      </c>
      <c r="X1636" s="473" t="s">
        <v>294</v>
      </c>
      <c r="Y1636" s="474" t="s">
        <v>77</v>
      </c>
      <c r="Z1636" s="102">
        <v>54503</v>
      </c>
      <c r="AA1636" s="468">
        <f>(Table6[[#This Row],[Paired WTG Generation for loss calculation]]/24)*Table6[[#This Row],[Breakdown Time]]</f>
        <v>227.09583333333254</v>
      </c>
      <c r="AB1636" s="102"/>
      <c r="AC1636" s="35"/>
      <c r="AD1636" s="35"/>
    </row>
    <row r="1637" spans="1:30">
      <c r="A1637" s="102">
        <f t="shared" si="26"/>
        <v>1636</v>
      </c>
      <c r="B1637" s="468">
        <f>YEAR(Table6[[#This Row],[Date]])+IF(MONTH(Table6[[#This Row],[Date]])&gt;=4,1,0)</f>
        <v>2026</v>
      </c>
      <c r="C1637" s="102">
        <f>YEAR(Table6[[#This Row],[Date]])</f>
        <v>2025</v>
      </c>
      <c r="D1637" s="102" t="s">
        <v>1986</v>
      </c>
      <c r="E1637" s="469">
        <f>Table6[[#This Row],[Date]]-DAY(Table6[[#This Row],[Date]])+1</f>
        <v>45839</v>
      </c>
      <c r="F1637" s="470">
        <v>45866</v>
      </c>
      <c r="G1637" s="35" t="s">
        <v>75</v>
      </c>
      <c r="H1637" s="35" t="str">
        <f>IFERROR(_xlfn.XLOOKUP(Table6[[#This Row],[Affected WTG]],'Basic Data'!$A:$A,'Basic Data'!$B:$B),"")</f>
        <v>TQGXIIPL</v>
      </c>
      <c r="I1637" s="35" t="str">
        <f>IFERROR(_xlfn.XLOOKUP(Table6[[#This Row],[Affected WTG]],'Basic Data'!$A:$A,'Basic Data'!$C:$C),"")</f>
        <v>GEDA</v>
      </c>
      <c r="J1637" s="471">
        <f>IFERROR(_xlfn.XLOOKUP(Table6[[#This Row],[Affected WTG]],'Basic Data'!$A:$A,'Basic Data'!$E:$E),"")</f>
        <v>3.846153846153845E-2</v>
      </c>
      <c r="K1637" s="102">
        <v>1070</v>
      </c>
      <c r="L1637" s="35" t="str">
        <f>IFERROR(_xlfn.XLOOKUP(Table6[[#This Row],[Error Code]],'Basic Data'!$AA:$AA,'Basic Data'!$AB:$AB),"Incorrect Error Code")</f>
        <v>Drive train monitor level 2</v>
      </c>
      <c r="M1637" s="35" t="s">
        <v>291</v>
      </c>
      <c r="N1637" s="475"/>
      <c r="O1637" s="476">
        <v>0.17152777777777778</v>
      </c>
      <c r="P1637" s="476">
        <v>0.17152777777777778</v>
      </c>
      <c r="Q1637" s="477">
        <v>0.17222222222222222</v>
      </c>
      <c r="R1637" s="472">
        <f>IF(Table6[[#This Row],[Work Start TimeStamp]]="","",(Table6[[#This Row],[Work Start TimeStamp]]-Table6[[#This Row],[Fault Start TimeStamp]])*24)</f>
        <v>0</v>
      </c>
      <c r="S1637" s="472">
        <f>(Table6[[#This Row],[Fault Clearance time]]-Table6[[#This Row],[Work Start TimeStamp]])*24</f>
        <v>1.6666666666666607E-2</v>
      </c>
      <c r="T1637" s="472">
        <f>(Table6[[#This Row],[Fault Clearance time]]-Table6[[#This Row],[Fault Start TimeStamp]])*24</f>
        <v>1.6666666666666607E-2</v>
      </c>
      <c r="U1637" s="35" t="s">
        <v>1919</v>
      </c>
      <c r="V1637" s="102" t="s">
        <v>293</v>
      </c>
      <c r="W1637" s="549">
        <f>IFERROR(Table6[[#This Row],[Breakdown Time]]*Table6[[#This Row],[Plant Equivalent Weightage]],"")</f>
        <v>6.4102564102563853E-4</v>
      </c>
      <c r="X1637" s="473" t="s">
        <v>294</v>
      </c>
      <c r="Y1637" s="474" t="s">
        <v>78</v>
      </c>
      <c r="Z1637" s="102">
        <v>55586</v>
      </c>
      <c r="AA1637" s="468">
        <f>(Table6[[#This Row],[Paired WTG Generation for loss calculation]]/24)*Table6[[#This Row],[Breakdown Time]]</f>
        <v>38.601388888888756</v>
      </c>
      <c r="AB1637" s="102"/>
      <c r="AC1637" s="35"/>
      <c r="AD1637" s="35"/>
    </row>
    <row r="1638" spans="1:30">
      <c r="A1638" s="102">
        <f t="shared" si="26"/>
        <v>1637</v>
      </c>
      <c r="B1638" s="468">
        <f>YEAR(Table6[[#This Row],[Date]])+IF(MONTH(Table6[[#This Row],[Date]])&gt;=4,1,0)</f>
        <v>2026</v>
      </c>
      <c r="C1638" s="102">
        <f>YEAR(Table6[[#This Row],[Date]])</f>
        <v>2025</v>
      </c>
      <c r="D1638" s="102" t="s">
        <v>1986</v>
      </c>
      <c r="E1638" s="469">
        <f>Table6[[#This Row],[Date]]-DAY(Table6[[#This Row],[Date]])+1</f>
        <v>45839</v>
      </c>
      <c r="F1638" s="470">
        <v>45866</v>
      </c>
      <c r="G1638" s="35" t="s">
        <v>77</v>
      </c>
      <c r="H1638" s="35" t="str">
        <f>IFERROR(_xlfn.XLOOKUP(Table6[[#This Row],[Affected WTG]],'Basic Data'!$A:$A,'Basic Data'!$B:$B),"")</f>
        <v>TQGXIIPL</v>
      </c>
      <c r="I1638" s="35" t="str">
        <f>IFERROR(_xlfn.XLOOKUP(Table6[[#This Row],[Affected WTG]],'Basic Data'!$A:$A,'Basic Data'!$C:$C),"")</f>
        <v>GEDA</v>
      </c>
      <c r="J1638" s="471">
        <f>IFERROR(_xlfn.XLOOKUP(Table6[[#This Row],[Affected WTG]],'Basic Data'!$A:$A,'Basic Data'!$E:$E),"")</f>
        <v>3.846153846153845E-2</v>
      </c>
      <c r="K1638" s="102">
        <v>6130</v>
      </c>
      <c r="L1638" s="35" t="str">
        <f>IFERROR(_xlfn.XLOOKUP(Table6[[#This Row],[Error Code]],'Basic Data'!$AA:$AA,'Basic Data'!$AB:$AB),"Incorrect Error Code")</f>
        <v>Yaw speed high</v>
      </c>
      <c r="M1638" s="35" t="s">
        <v>291</v>
      </c>
      <c r="N1638" s="475"/>
      <c r="O1638" s="476">
        <v>3.7499999999999999E-2</v>
      </c>
      <c r="P1638" s="476">
        <v>3.7499999999999999E-2</v>
      </c>
      <c r="Q1638" s="477">
        <v>4.027777777777778E-2</v>
      </c>
      <c r="R1638" s="472">
        <f>IF(Table6[[#This Row],[Work Start TimeStamp]]="","",(Table6[[#This Row],[Work Start TimeStamp]]-Table6[[#This Row],[Fault Start TimeStamp]])*24)</f>
        <v>0</v>
      </c>
      <c r="S1638" s="472">
        <f>(Table6[[#This Row],[Fault Clearance time]]-Table6[[#This Row],[Work Start TimeStamp]])*24</f>
        <v>6.6666666666666763E-2</v>
      </c>
      <c r="T1638" s="472">
        <f>(Table6[[#This Row],[Fault Clearance time]]-Table6[[#This Row],[Fault Start TimeStamp]])*24</f>
        <v>6.6666666666666763E-2</v>
      </c>
      <c r="U1638" s="35" t="s">
        <v>1919</v>
      </c>
      <c r="V1638" s="102" t="s">
        <v>293</v>
      </c>
      <c r="W1638" s="549">
        <f>IFERROR(Table6[[#This Row],[Breakdown Time]]*Table6[[#This Row],[Plant Equivalent Weightage]],"")</f>
        <v>2.5641025641025671E-3</v>
      </c>
      <c r="X1638" s="473" t="s">
        <v>294</v>
      </c>
      <c r="Y1638" s="474" t="s">
        <v>80</v>
      </c>
      <c r="Z1638" s="102">
        <v>54893</v>
      </c>
      <c r="AA1638" s="468">
        <f>(Table6[[#This Row],[Paired WTG Generation for loss calculation]]/24)*Table6[[#This Row],[Breakdown Time]]</f>
        <v>152.48055555555578</v>
      </c>
      <c r="AB1638" s="102"/>
      <c r="AC1638" s="35"/>
      <c r="AD1638" s="35"/>
    </row>
    <row r="1639" spans="1:30">
      <c r="A1639" s="102">
        <f t="shared" si="26"/>
        <v>1638</v>
      </c>
      <c r="B1639" s="468">
        <f>YEAR(Table6[[#This Row],[Date]])+IF(MONTH(Table6[[#This Row],[Date]])&gt;=4,1,0)</f>
        <v>2026</v>
      </c>
      <c r="C1639" s="102">
        <f>YEAR(Table6[[#This Row],[Date]])</f>
        <v>2025</v>
      </c>
      <c r="D1639" s="102" t="s">
        <v>1986</v>
      </c>
      <c r="E1639" s="469">
        <f>Table6[[#This Row],[Date]]-DAY(Table6[[#This Row],[Date]])+1</f>
        <v>45839</v>
      </c>
      <c r="F1639" s="470">
        <v>45866</v>
      </c>
      <c r="G1639" s="35" t="s">
        <v>78</v>
      </c>
      <c r="H1639" s="35" t="str">
        <f>IFERROR(_xlfn.XLOOKUP(Table6[[#This Row],[Affected WTG]],'Basic Data'!$A:$A,'Basic Data'!$B:$B),"")</f>
        <v>TQGXIIPL</v>
      </c>
      <c r="I1639" s="35" t="str">
        <f>IFERROR(_xlfn.XLOOKUP(Table6[[#This Row],[Affected WTG]],'Basic Data'!$A:$A,'Basic Data'!$C:$C),"")</f>
        <v>GEDA</v>
      </c>
      <c r="J1639" s="471">
        <f>IFERROR(_xlfn.XLOOKUP(Table6[[#This Row],[Affected WTG]],'Basic Data'!$A:$A,'Basic Data'!$E:$E),"")</f>
        <v>3.846153846153845E-2</v>
      </c>
      <c r="K1639" s="102">
        <v>3000</v>
      </c>
      <c r="L1639" s="35" t="str">
        <f>IFERROR(_xlfn.XLOOKUP(Table6[[#This Row],[Error Code]],'Basic Data'!$AA:$AA,'Basic Data'!$AB:$AB),"Incorrect Error Code")</f>
        <v>Frequency converter not ready</v>
      </c>
      <c r="M1639" s="35" t="s">
        <v>291</v>
      </c>
      <c r="N1639" s="475"/>
      <c r="O1639" s="476">
        <v>0.45902777777777776</v>
      </c>
      <c r="P1639" s="476">
        <v>0.45902777777777776</v>
      </c>
      <c r="Q1639" s="477">
        <v>0.46250000000000002</v>
      </c>
      <c r="R1639" s="472">
        <f>IF(Table6[[#This Row],[Work Start TimeStamp]]="","",(Table6[[#This Row],[Work Start TimeStamp]]-Table6[[#This Row],[Fault Start TimeStamp]])*24)</f>
        <v>0</v>
      </c>
      <c r="S1639" s="472">
        <f>(Table6[[#This Row],[Fault Clearance time]]-Table6[[#This Row],[Work Start TimeStamp]])*24</f>
        <v>8.333333333333437E-2</v>
      </c>
      <c r="T1639" s="472">
        <f>(Table6[[#This Row],[Fault Clearance time]]-Table6[[#This Row],[Fault Start TimeStamp]])*24</f>
        <v>8.333333333333437E-2</v>
      </c>
      <c r="U1639" s="35" t="s">
        <v>1919</v>
      </c>
      <c r="V1639" s="102" t="s">
        <v>293</v>
      </c>
      <c r="W1639" s="549">
        <f>IFERROR(Table6[[#This Row],[Breakdown Time]]*Table6[[#This Row],[Plant Equivalent Weightage]],"")</f>
        <v>3.205128205128244E-3</v>
      </c>
      <c r="X1639" s="473" t="s">
        <v>294</v>
      </c>
      <c r="Y1639" s="474" t="s">
        <v>75</v>
      </c>
      <c r="Z1639" s="102">
        <v>56216</v>
      </c>
      <c r="AA1639" s="468">
        <f>(Table6[[#This Row],[Paired WTG Generation for loss calculation]]/24)*Table6[[#This Row],[Breakdown Time]]</f>
        <v>195.19444444444687</v>
      </c>
      <c r="AB1639" s="102"/>
      <c r="AC1639" s="35"/>
      <c r="AD1639" s="35"/>
    </row>
    <row r="1640" spans="1:30">
      <c r="A1640" s="102">
        <f t="shared" si="26"/>
        <v>1639</v>
      </c>
      <c r="B1640" s="468">
        <f>YEAR(Table6[[#This Row],[Date]])+IF(MONTH(Table6[[#This Row],[Date]])&gt;=4,1,0)</f>
        <v>2026</v>
      </c>
      <c r="C1640" s="102">
        <f>YEAR(Table6[[#This Row],[Date]])</f>
        <v>2025</v>
      </c>
      <c r="D1640" s="102" t="s">
        <v>1986</v>
      </c>
      <c r="E1640" s="469">
        <f>Table6[[#This Row],[Date]]-DAY(Table6[[#This Row],[Date]])+1</f>
        <v>45839</v>
      </c>
      <c r="F1640" s="470">
        <v>45866</v>
      </c>
      <c r="G1640" s="35" t="s">
        <v>87</v>
      </c>
      <c r="H1640" s="35" t="str">
        <f>IFERROR(_xlfn.XLOOKUP(Table6[[#This Row],[Affected WTG]],'Basic Data'!$A:$A,'Basic Data'!$B:$B),"")</f>
        <v>TQGXIIPL</v>
      </c>
      <c r="I1640" s="35" t="str">
        <f>IFERROR(_xlfn.XLOOKUP(Table6[[#This Row],[Affected WTG]],'Basic Data'!$A:$A,'Basic Data'!$C:$C),"")</f>
        <v>GEDA</v>
      </c>
      <c r="J1640" s="471">
        <f>IFERROR(_xlfn.XLOOKUP(Table6[[#This Row],[Affected WTG]],'Basic Data'!$A:$A,'Basic Data'!$E:$E),"")</f>
        <v>3.846153846153845E-2</v>
      </c>
      <c r="K1640" s="102">
        <v>55</v>
      </c>
      <c r="L1640" s="35" t="str">
        <f>IFERROR(_xlfn.XLOOKUP(Table6[[#This Row],[Error Code]],'Basic Data'!$AA:$AA,'Basic Data'!$AB:$AB),"Incorrect Error Code")</f>
        <v>WTG shut down</v>
      </c>
      <c r="M1640" s="35" t="s">
        <v>295</v>
      </c>
      <c r="N1640" s="475"/>
      <c r="O1640" s="476">
        <v>0.46805555555555556</v>
      </c>
      <c r="P1640" s="476">
        <v>0.46805555555555556</v>
      </c>
      <c r="Q1640" s="477">
        <v>0.70833333333333337</v>
      </c>
      <c r="R1640" s="472">
        <f>IF(Table6[[#This Row],[Work Start TimeStamp]]="","",(Table6[[#This Row],[Work Start TimeStamp]]-Table6[[#This Row],[Fault Start TimeStamp]])*24)</f>
        <v>0</v>
      </c>
      <c r="S1640" s="472">
        <f>(Table6[[#This Row],[Fault Clearance time]]-Table6[[#This Row],[Work Start TimeStamp]])*24</f>
        <v>5.7666666666666675</v>
      </c>
      <c r="T1640" s="472">
        <f>(Table6[[#This Row],[Fault Clearance time]]-Table6[[#This Row],[Fault Start TimeStamp]])*24</f>
        <v>5.7666666666666675</v>
      </c>
      <c r="U1640" s="35" t="s">
        <v>2111</v>
      </c>
      <c r="V1640" s="102" t="s">
        <v>293</v>
      </c>
      <c r="W1640" s="549">
        <f>IFERROR(Table6[[#This Row],[Breakdown Time]]*Table6[[#This Row],[Plant Equivalent Weightage]],"")</f>
        <v>0.22179487179487176</v>
      </c>
      <c r="X1640" s="473" t="s">
        <v>290</v>
      </c>
      <c r="Y1640" s="474" t="s">
        <v>85</v>
      </c>
      <c r="Z1640" s="102">
        <v>56900</v>
      </c>
      <c r="AA1640" s="468">
        <f>(Table6[[#This Row],[Paired WTG Generation for loss calculation]]/24)*Table6[[#This Row],[Breakdown Time]]</f>
        <v>13671.805555555558</v>
      </c>
      <c r="AB1640" s="102"/>
      <c r="AC1640" s="35"/>
      <c r="AD1640" s="35"/>
    </row>
    <row r="1641" spans="1:30">
      <c r="A1641" s="102">
        <f t="shared" si="26"/>
        <v>1640</v>
      </c>
      <c r="B1641" s="468">
        <f>YEAR(Table6[[#This Row],[Date]])+IF(MONTH(Table6[[#This Row],[Date]])&gt;=4,1,0)</f>
        <v>2026</v>
      </c>
      <c r="C1641" s="102">
        <f>YEAR(Table6[[#This Row],[Date]])</f>
        <v>2025</v>
      </c>
      <c r="D1641" s="102" t="s">
        <v>1986</v>
      </c>
      <c r="E1641" s="469">
        <f>Table6[[#This Row],[Date]]-DAY(Table6[[#This Row],[Date]])+1</f>
        <v>45839</v>
      </c>
      <c r="F1641" s="470">
        <v>45866</v>
      </c>
      <c r="G1641" s="35" t="s">
        <v>87</v>
      </c>
      <c r="H1641" s="35" t="str">
        <f>IFERROR(_xlfn.XLOOKUP(Table6[[#This Row],[Affected WTG]],'Basic Data'!$A:$A,'Basic Data'!$B:$B),"")</f>
        <v>TQGXIIPL</v>
      </c>
      <c r="I1641" s="35" t="str">
        <f>IFERROR(_xlfn.XLOOKUP(Table6[[#This Row],[Affected WTG]],'Basic Data'!$A:$A,'Basic Data'!$C:$C),"")</f>
        <v>GEDA</v>
      </c>
      <c r="J1641" s="471">
        <f>IFERROR(_xlfn.XLOOKUP(Table6[[#This Row],[Affected WTG]],'Basic Data'!$A:$A,'Basic Data'!$E:$E),"")</f>
        <v>3.846153846153845E-2</v>
      </c>
      <c r="K1641" s="102">
        <v>55</v>
      </c>
      <c r="L1641" s="35" t="str">
        <f>IFERROR(_xlfn.XLOOKUP(Table6[[#This Row],[Error Code]],'Basic Data'!$AA:$AA,'Basic Data'!$AB:$AB),"Incorrect Error Code")</f>
        <v>WTG shut down</v>
      </c>
      <c r="M1641" s="35" t="s">
        <v>295</v>
      </c>
      <c r="N1641" s="475"/>
      <c r="O1641" s="476">
        <v>0.77361111111111114</v>
      </c>
      <c r="P1641" s="476">
        <v>0.77361111111111114</v>
      </c>
      <c r="Q1641" s="477">
        <v>0.80694444444444446</v>
      </c>
      <c r="R1641" s="472">
        <f>IF(Table6[[#This Row],[Work Start TimeStamp]]="","",(Table6[[#This Row],[Work Start TimeStamp]]-Table6[[#This Row],[Fault Start TimeStamp]])*24)</f>
        <v>0</v>
      </c>
      <c r="S1641" s="472">
        <f>(Table6[[#This Row],[Fault Clearance time]]-Table6[[#This Row],[Work Start TimeStamp]])*24</f>
        <v>0.79999999999999982</v>
      </c>
      <c r="T1641" s="472">
        <f>(Table6[[#This Row],[Fault Clearance time]]-Table6[[#This Row],[Fault Start TimeStamp]])*24</f>
        <v>0.79999999999999982</v>
      </c>
      <c r="U1641" s="35" t="s">
        <v>2112</v>
      </c>
      <c r="V1641" s="102" t="s">
        <v>293</v>
      </c>
      <c r="W1641" s="549">
        <f>IFERROR(Table6[[#This Row],[Breakdown Time]]*Table6[[#This Row],[Plant Equivalent Weightage]],"")</f>
        <v>3.0769230769230754E-2</v>
      </c>
      <c r="X1641" s="473" t="s">
        <v>290</v>
      </c>
      <c r="Y1641" s="474" t="s">
        <v>85</v>
      </c>
      <c r="Z1641" s="102">
        <v>56900</v>
      </c>
      <c r="AA1641" s="468">
        <f>(Table6[[#This Row],[Paired WTG Generation for loss calculation]]/24)*Table6[[#This Row],[Breakdown Time]]</f>
        <v>1896.6666666666663</v>
      </c>
      <c r="AB1641" s="102"/>
      <c r="AC1641" s="35"/>
      <c r="AD1641" s="35"/>
    </row>
    <row r="1642" spans="1:30">
      <c r="A1642" s="102">
        <f t="shared" si="26"/>
        <v>1641</v>
      </c>
      <c r="B1642" s="468">
        <f>YEAR(Table6[[#This Row],[Date]])+IF(MONTH(Table6[[#This Row],[Date]])&gt;=4,1,0)</f>
        <v>2026</v>
      </c>
      <c r="C1642" s="102">
        <f>YEAR(Table6[[#This Row],[Date]])</f>
        <v>2025</v>
      </c>
      <c r="D1642" s="102" t="s">
        <v>1986</v>
      </c>
      <c r="E1642" s="469">
        <f>Table6[[#This Row],[Date]]-DAY(Table6[[#This Row],[Date]])+1</f>
        <v>45839</v>
      </c>
      <c r="F1642" s="470">
        <v>45866</v>
      </c>
      <c r="G1642" s="35" t="s">
        <v>88</v>
      </c>
      <c r="H1642" s="35" t="str">
        <f>IFERROR(_xlfn.XLOOKUP(Table6[[#This Row],[Affected WTG]],'Basic Data'!$A:$A,'Basic Data'!$B:$B),"")</f>
        <v>TQGXIIPL</v>
      </c>
      <c r="I1642" s="35" t="str">
        <f>IFERROR(_xlfn.XLOOKUP(Table6[[#This Row],[Affected WTG]],'Basic Data'!$A:$A,'Basic Data'!$C:$C),"")</f>
        <v>GEDA</v>
      </c>
      <c r="J1642" s="471">
        <f>IFERROR(_xlfn.XLOOKUP(Table6[[#This Row],[Affected WTG]],'Basic Data'!$A:$A,'Basic Data'!$E:$E),"")</f>
        <v>3.846153846153845E-2</v>
      </c>
      <c r="K1642" s="102">
        <v>4970</v>
      </c>
      <c r="L1642" s="35" t="str">
        <f>IFERROR(_xlfn.XLOOKUP(Table6[[#This Row],[Error Code]],'Basic Data'!$AA:$AA,'Basic Data'!$AB:$AB),"Incorrect Error Code")</f>
        <v>Tower oscillation XF</v>
      </c>
      <c r="M1642" s="35" t="s">
        <v>291</v>
      </c>
      <c r="N1642" s="475"/>
      <c r="O1642" s="476">
        <v>0.82638888888888884</v>
      </c>
      <c r="P1642" s="476">
        <v>0.82638888888888884</v>
      </c>
      <c r="Q1642" s="477">
        <v>0.83333333333333337</v>
      </c>
      <c r="R1642" s="472">
        <f>IF(Table6[[#This Row],[Work Start TimeStamp]]="","",(Table6[[#This Row],[Work Start TimeStamp]]-Table6[[#This Row],[Fault Start TimeStamp]])*24)</f>
        <v>0</v>
      </c>
      <c r="S1642" s="472">
        <f>(Table6[[#This Row],[Fault Clearance time]]-Table6[[#This Row],[Work Start TimeStamp]])*24</f>
        <v>0.16666666666666874</v>
      </c>
      <c r="T1642" s="472">
        <f>(Table6[[#This Row],[Fault Clearance time]]-Table6[[#This Row],[Fault Start TimeStamp]])*24</f>
        <v>0.16666666666666874</v>
      </c>
      <c r="U1642" s="35" t="s">
        <v>1919</v>
      </c>
      <c r="V1642" s="102" t="s">
        <v>293</v>
      </c>
      <c r="W1642" s="549">
        <f>IFERROR(Table6[[#This Row],[Breakdown Time]]*Table6[[#This Row],[Plant Equivalent Weightage]],"")</f>
        <v>6.4102564102564881E-3</v>
      </c>
      <c r="X1642" s="473" t="s">
        <v>294</v>
      </c>
      <c r="Y1642" s="474" t="s">
        <v>83</v>
      </c>
      <c r="Z1642" s="102">
        <v>57692</v>
      </c>
      <c r="AA1642" s="468">
        <f>(Table6[[#This Row],[Paired WTG Generation for loss calculation]]/24)*Table6[[#This Row],[Breakdown Time]]</f>
        <v>400.63888888889392</v>
      </c>
      <c r="AB1642" s="102"/>
      <c r="AC1642" s="35"/>
      <c r="AD1642" s="35"/>
    </row>
    <row r="1643" spans="1:30">
      <c r="A1643" s="102">
        <f t="shared" si="26"/>
        <v>1642</v>
      </c>
      <c r="B1643" s="468">
        <f>YEAR(Table6[[#This Row],[Date]])+IF(MONTH(Table6[[#This Row],[Date]])&gt;=4,1,0)</f>
        <v>2026</v>
      </c>
      <c r="C1643" s="102">
        <f>YEAR(Table6[[#This Row],[Date]])</f>
        <v>2025</v>
      </c>
      <c r="D1643" s="102" t="s">
        <v>1986</v>
      </c>
      <c r="E1643" s="469">
        <f>Table6[[#This Row],[Date]]-DAY(Table6[[#This Row],[Date]])+1</f>
        <v>45839</v>
      </c>
      <c r="F1643" s="470">
        <v>45866</v>
      </c>
      <c r="G1643" s="35" t="s">
        <v>88</v>
      </c>
      <c r="H1643" s="35" t="str">
        <f>IFERROR(_xlfn.XLOOKUP(Table6[[#This Row],[Affected WTG]],'Basic Data'!$A:$A,'Basic Data'!$B:$B),"")</f>
        <v>TQGXIIPL</v>
      </c>
      <c r="I1643" s="35" t="str">
        <f>IFERROR(_xlfn.XLOOKUP(Table6[[#This Row],[Affected WTG]],'Basic Data'!$A:$A,'Basic Data'!$C:$C),"")</f>
        <v>GEDA</v>
      </c>
      <c r="J1643" s="471">
        <f>IFERROR(_xlfn.XLOOKUP(Table6[[#This Row],[Affected WTG]],'Basic Data'!$A:$A,'Basic Data'!$E:$E),"")</f>
        <v>3.846153846153845E-2</v>
      </c>
      <c r="K1643" s="102">
        <v>3000</v>
      </c>
      <c r="L1643" s="35" t="str">
        <f>IFERROR(_xlfn.XLOOKUP(Table6[[#This Row],[Error Code]],'Basic Data'!$AA:$AA,'Basic Data'!$AB:$AB),"Incorrect Error Code")</f>
        <v>Frequency converter not ready</v>
      </c>
      <c r="M1643" s="35" t="s">
        <v>291</v>
      </c>
      <c r="N1643" s="475"/>
      <c r="O1643" s="476">
        <v>0.94236111111111109</v>
      </c>
      <c r="P1643" s="476">
        <v>0.94236111111111109</v>
      </c>
      <c r="Q1643" s="477">
        <v>0.95208333333333328</v>
      </c>
      <c r="R1643" s="472">
        <f>IF(Table6[[#This Row],[Work Start TimeStamp]]="","",(Table6[[#This Row],[Work Start TimeStamp]]-Table6[[#This Row],[Fault Start TimeStamp]])*24)</f>
        <v>0</v>
      </c>
      <c r="S1643" s="472">
        <f>(Table6[[#This Row],[Fault Clearance time]]-Table6[[#This Row],[Work Start TimeStamp]])*24</f>
        <v>0.2333333333333325</v>
      </c>
      <c r="T1643" s="472">
        <f>(Table6[[#This Row],[Fault Clearance time]]-Table6[[#This Row],[Fault Start TimeStamp]])*24</f>
        <v>0.2333333333333325</v>
      </c>
      <c r="U1643" s="35" t="s">
        <v>2110</v>
      </c>
      <c r="V1643" s="102" t="s">
        <v>293</v>
      </c>
      <c r="W1643" s="549">
        <f>IFERROR(Table6[[#This Row],[Breakdown Time]]*Table6[[#This Row],[Plant Equivalent Weightage]],"")</f>
        <v>8.974358974358939E-3</v>
      </c>
      <c r="X1643" s="473" t="s">
        <v>294</v>
      </c>
      <c r="Y1643" s="474" t="s">
        <v>83</v>
      </c>
      <c r="Z1643" s="102">
        <v>57692</v>
      </c>
      <c r="AA1643" s="468">
        <f>(Table6[[#This Row],[Paired WTG Generation for loss calculation]]/24)*Table6[[#This Row],[Breakdown Time]]</f>
        <v>560.89444444444246</v>
      </c>
      <c r="AB1643" s="102"/>
      <c r="AC1643" s="35"/>
      <c r="AD1643" s="35"/>
    </row>
    <row r="1644" spans="1:30">
      <c r="A1644" s="102">
        <f t="shared" si="26"/>
        <v>1643</v>
      </c>
      <c r="B1644" s="468">
        <f>YEAR(Table6[[#This Row],[Date]])+IF(MONTH(Table6[[#This Row],[Date]])&gt;=4,1,0)</f>
        <v>2026</v>
      </c>
      <c r="C1644" s="102">
        <f>YEAR(Table6[[#This Row],[Date]])</f>
        <v>2025</v>
      </c>
      <c r="D1644" s="102" t="s">
        <v>1986</v>
      </c>
      <c r="E1644" s="469">
        <f>Table6[[#This Row],[Date]]-DAY(Table6[[#This Row],[Date]])+1</f>
        <v>45839</v>
      </c>
      <c r="F1644" s="470">
        <v>45866</v>
      </c>
      <c r="G1644" s="35" t="s">
        <v>88</v>
      </c>
      <c r="H1644" s="35" t="str">
        <f>IFERROR(_xlfn.XLOOKUP(Table6[[#This Row],[Affected WTG]],'Basic Data'!$A:$A,'Basic Data'!$B:$B),"")</f>
        <v>TQGXIIPL</v>
      </c>
      <c r="I1644" s="35" t="str">
        <f>IFERROR(_xlfn.XLOOKUP(Table6[[#This Row],[Affected WTG]],'Basic Data'!$A:$A,'Basic Data'!$C:$C),"")</f>
        <v>GEDA</v>
      </c>
      <c r="J1644" s="471">
        <f>IFERROR(_xlfn.XLOOKUP(Table6[[#This Row],[Affected WTG]],'Basic Data'!$A:$A,'Basic Data'!$E:$E),"")</f>
        <v>3.846153846153845E-2</v>
      </c>
      <c r="K1644" s="102">
        <v>3000</v>
      </c>
      <c r="L1644" s="35" t="str">
        <f>IFERROR(_xlfn.XLOOKUP(Table6[[#This Row],[Error Code]],'Basic Data'!$AA:$AA,'Basic Data'!$AB:$AB),"Incorrect Error Code")</f>
        <v>Frequency converter not ready</v>
      </c>
      <c r="M1644" s="35" t="s">
        <v>291</v>
      </c>
      <c r="N1644" s="475"/>
      <c r="O1644" s="476">
        <v>0.95208333333333328</v>
      </c>
      <c r="P1644" s="476">
        <v>0.95208333333333328</v>
      </c>
      <c r="Q1644" s="477">
        <v>0.95694444444444449</v>
      </c>
      <c r="R1644" s="472">
        <f>IF(Table6[[#This Row],[Work Start TimeStamp]]="","",(Table6[[#This Row],[Work Start TimeStamp]]-Table6[[#This Row],[Fault Start TimeStamp]])*24)</f>
        <v>0</v>
      </c>
      <c r="S1644" s="472">
        <f>(Table6[[#This Row],[Fault Clearance time]]-Table6[[#This Row],[Work Start TimeStamp]])*24</f>
        <v>0.11666666666666892</v>
      </c>
      <c r="T1644" s="472">
        <f>(Table6[[#This Row],[Fault Clearance time]]-Table6[[#This Row],[Fault Start TimeStamp]])*24</f>
        <v>0.11666666666666892</v>
      </c>
      <c r="U1644" s="35" t="s">
        <v>1919</v>
      </c>
      <c r="V1644" s="102" t="s">
        <v>293</v>
      </c>
      <c r="W1644" s="549">
        <f>IFERROR(Table6[[#This Row],[Breakdown Time]]*Table6[[#This Row],[Plant Equivalent Weightage]],"")</f>
        <v>4.4871794871795727E-3</v>
      </c>
      <c r="X1644" s="473" t="s">
        <v>294</v>
      </c>
      <c r="Y1644" s="474" t="s">
        <v>83</v>
      </c>
      <c r="Z1644" s="102">
        <v>57692</v>
      </c>
      <c r="AA1644" s="468">
        <f>(Table6[[#This Row],[Paired WTG Generation for loss calculation]]/24)*Table6[[#This Row],[Breakdown Time]]</f>
        <v>280.44722222222765</v>
      </c>
      <c r="AB1644" s="102"/>
      <c r="AC1644" s="35"/>
      <c r="AD1644" s="35"/>
    </row>
    <row r="1645" spans="1:30">
      <c r="A1645" s="102">
        <f t="shared" si="26"/>
        <v>1644</v>
      </c>
      <c r="B1645" s="468">
        <f>YEAR(Table6[[#This Row],[Date]])+IF(MONTH(Table6[[#This Row],[Date]])&gt;=4,1,0)</f>
        <v>2026</v>
      </c>
      <c r="C1645" s="102">
        <f>YEAR(Table6[[#This Row],[Date]])</f>
        <v>2025</v>
      </c>
      <c r="D1645" s="102" t="s">
        <v>1986</v>
      </c>
      <c r="E1645" s="469">
        <f>Table6[[#This Row],[Date]]-DAY(Table6[[#This Row],[Date]])+1</f>
        <v>45839</v>
      </c>
      <c r="F1645" s="470">
        <v>45866</v>
      </c>
      <c r="G1645" s="35" t="s">
        <v>92</v>
      </c>
      <c r="H1645" s="35" t="str">
        <f>IFERROR(_xlfn.XLOOKUP(Table6[[#This Row],[Affected WTG]],'Basic Data'!$A:$A,'Basic Data'!$B:$B),"")</f>
        <v>TQGXIIPL</v>
      </c>
      <c r="I1645" s="35" t="str">
        <f>IFERROR(_xlfn.XLOOKUP(Table6[[#This Row],[Affected WTG]],'Basic Data'!$A:$A,'Basic Data'!$C:$C),"")</f>
        <v>GEDA</v>
      </c>
      <c r="J1645" s="471">
        <f>IFERROR(_xlfn.XLOOKUP(Table6[[#This Row],[Affected WTG]],'Basic Data'!$A:$A,'Basic Data'!$E:$E),"")</f>
        <v>3.846153846153845E-2</v>
      </c>
      <c r="K1645" s="102">
        <v>550</v>
      </c>
      <c r="L1645" s="35" t="str">
        <f>IFERROR(_xlfn.XLOOKUP(Table6[[#This Row],[Error Code]],'Basic Data'!$AA:$AA,'Basic Data'!$AB:$AB),"Incorrect Error Code")</f>
        <v>Pitch current asymmetry</v>
      </c>
      <c r="M1645" s="35" t="s">
        <v>291</v>
      </c>
      <c r="N1645" s="475"/>
      <c r="O1645" s="476">
        <v>0.93472222222222223</v>
      </c>
      <c r="P1645" s="476">
        <v>0.93472222222222223</v>
      </c>
      <c r="Q1645" s="477">
        <v>0.93958333333333333</v>
      </c>
      <c r="R1645" s="472">
        <f>IF(Table6[[#This Row],[Work Start TimeStamp]]="","",(Table6[[#This Row],[Work Start TimeStamp]]-Table6[[#This Row],[Fault Start TimeStamp]])*24)</f>
        <v>0</v>
      </c>
      <c r="S1645" s="472">
        <f>(Table6[[#This Row],[Fault Clearance time]]-Table6[[#This Row],[Work Start TimeStamp]])*24</f>
        <v>0.11666666666666625</v>
      </c>
      <c r="T1645" s="472">
        <f>(Table6[[#This Row],[Fault Clearance time]]-Table6[[#This Row],[Fault Start TimeStamp]])*24</f>
        <v>0.11666666666666625</v>
      </c>
      <c r="U1645" s="35" t="s">
        <v>1919</v>
      </c>
      <c r="V1645" s="102" t="s">
        <v>293</v>
      </c>
      <c r="W1645" s="549">
        <f>IFERROR(Table6[[#This Row],[Breakdown Time]]*Table6[[#This Row],[Plant Equivalent Weightage]],"")</f>
        <v>4.4871794871794695E-3</v>
      </c>
      <c r="X1645" s="473" t="s">
        <v>294</v>
      </c>
      <c r="Y1645" s="474" t="s">
        <v>80</v>
      </c>
      <c r="Z1645" s="102">
        <v>54893</v>
      </c>
      <c r="AA1645" s="468">
        <f>(Table6[[#This Row],[Paired WTG Generation for loss calculation]]/24)*Table6[[#This Row],[Breakdown Time]]</f>
        <v>266.8409722222213</v>
      </c>
      <c r="AB1645" s="102"/>
      <c r="AC1645" s="35"/>
      <c r="AD1645" s="35"/>
    </row>
    <row r="1646" spans="1:30">
      <c r="A1646" s="102">
        <f t="shared" si="26"/>
        <v>1645</v>
      </c>
      <c r="B1646" s="468">
        <f>YEAR(Table6[[#This Row],[Date]])+IF(MONTH(Table6[[#This Row],[Date]])&gt;=4,1,0)</f>
        <v>2026</v>
      </c>
      <c r="C1646" s="102">
        <f>YEAR(Table6[[#This Row],[Date]])</f>
        <v>2025</v>
      </c>
      <c r="D1646" s="102" t="s">
        <v>1986</v>
      </c>
      <c r="E1646" s="469">
        <f>Table6[[#This Row],[Date]]-DAY(Table6[[#This Row],[Date]])+1</f>
        <v>45839</v>
      </c>
      <c r="F1646" s="470">
        <v>45866</v>
      </c>
      <c r="G1646" s="35" t="s">
        <v>92</v>
      </c>
      <c r="H1646" s="35" t="str">
        <f>IFERROR(_xlfn.XLOOKUP(Table6[[#This Row],[Affected WTG]],'Basic Data'!$A:$A,'Basic Data'!$B:$B),"")</f>
        <v>TQGXIIPL</v>
      </c>
      <c r="I1646" s="35" t="str">
        <f>IFERROR(_xlfn.XLOOKUP(Table6[[#This Row],[Affected WTG]],'Basic Data'!$A:$A,'Basic Data'!$C:$C),"")</f>
        <v>GEDA</v>
      </c>
      <c r="J1646" s="471">
        <f>IFERROR(_xlfn.XLOOKUP(Table6[[#This Row],[Affected WTG]],'Basic Data'!$A:$A,'Basic Data'!$E:$E),"")</f>
        <v>3.846153846153845E-2</v>
      </c>
      <c r="K1646" s="102">
        <v>642</v>
      </c>
      <c r="L1646" s="35" t="str">
        <f>IFERROR(_xlfn.XLOOKUP(Table6[[#This Row],[Error Code]],'Basic Data'!$AA:$AA,'Basic Data'!$AB:$AB),"Incorrect Error Code")</f>
        <v>Sim.angle E enc. &lt;&gt; act.angle 2</v>
      </c>
      <c r="M1646" s="35" t="s">
        <v>291</v>
      </c>
      <c r="N1646" s="475"/>
      <c r="O1646" s="476">
        <v>0.9458333333333333</v>
      </c>
      <c r="P1646" s="476">
        <v>0.9458333333333333</v>
      </c>
      <c r="Q1646" s="477">
        <v>0.95208333333333328</v>
      </c>
      <c r="R1646" s="472">
        <f>IF(Table6[[#This Row],[Work Start TimeStamp]]="","",(Table6[[#This Row],[Work Start TimeStamp]]-Table6[[#This Row],[Fault Start TimeStamp]])*24)</f>
        <v>0</v>
      </c>
      <c r="S1646" s="472">
        <f>(Table6[[#This Row],[Fault Clearance time]]-Table6[[#This Row],[Work Start TimeStamp]])*24</f>
        <v>0.14999999999999947</v>
      </c>
      <c r="T1646" s="472">
        <f>(Table6[[#This Row],[Fault Clearance time]]-Table6[[#This Row],[Fault Start TimeStamp]])*24</f>
        <v>0.14999999999999947</v>
      </c>
      <c r="U1646" s="35" t="s">
        <v>2113</v>
      </c>
      <c r="V1646" s="102" t="s">
        <v>293</v>
      </c>
      <c r="W1646" s="549">
        <f>IFERROR(Table6[[#This Row],[Breakdown Time]]*Table6[[#This Row],[Plant Equivalent Weightage]],"")</f>
        <v>5.769230769230747E-3</v>
      </c>
      <c r="X1646" s="473" t="s">
        <v>294</v>
      </c>
      <c r="Y1646" s="474" t="s">
        <v>80</v>
      </c>
      <c r="Z1646" s="102">
        <v>54893</v>
      </c>
      <c r="AA1646" s="468">
        <f>(Table6[[#This Row],[Paired WTG Generation for loss calculation]]/24)*Table6[[#This Row],[Breakdown Time]]</f>
        <v>343.08124999999882</v>
      </c>
      <c r="AB1646" s="102"/>
      <c r="AC1646" s="35"/>
      <c r="AD1646" s="35"/>
    </row>
    <row r="1647" spans="1:30">
      <c r="A1647" s="102">
        <f t="shared" si="26"/>
        <v>1646</v>
      </c>
      <c r="B1647" s="468">
        <f>YEAR(Table6[[#This Row],[Date]])+IF(MONTH(Table6[[#This Row],[Date]])&gt;=4,1,0)</f>
        <v>2026</v>
      </c>
      <c r="C1647" s="102">
        <f>YEAR(Table6[[#This Row],[Date]])</f>
        <v>2025</v>
      </c>
      <c r="D1647" s="102" t="s">
        <v>1986</v>
      </c>
      <c r="E1647" s="469">
        <f>Table6[[#This Row],[Date]]-DAY(Table6[[#This Row],[Date]])+1</f>
        <v>45839</v>
      </c>
      <c r="F1647" s="470">
        <v>45867</v>
      </c>
      <c r="G1647" s="35" t="s">
        <v>77</v>
      </c>
      <c r="H1647" s="35" t="str">
        <f>IFERROR(_xlfn.XLOOKUP(Table6[[#This Row],[Affected WTG]],'Basic Data'!$A:$A,'Basic Data'!$B:$B),"")</f>
        <v>TQGXIIPL</v>
      </c>
      <c r="I1647" s="35" t="str">
        <f>IFERROR(_xlfn.XLOOKUP(Table6[[#This Row],[Affected WTG]],'Basic Data'!$A:$A,'Basic Data'!$C:$C),"")</f>
        <v>GEDA</v>
      </c>
      <c r="J1647" s="471">
        <f>IFERROR(_xlfn.XLOOKUP(Table6[[#This Row],[Affected WTG]],'Basic Data'!$A:$A,'Basic Data'!$E:$E),"")</f>
        <v>3.846153846153845E-2</v>
      </c>
      <c r="K1647" s="102">
        <v>6130</v>
      </c>
      <c r="L1647" s="35" t="str">
        <f>IFERROR(_xlfn.XLOOKUP(Table6[[#This Row],[Error Code]],'Basic Data'!$AA:$AA,'Basic Data'!$AB:$AB),"Incorrect Error Code")</f>
        <v>Yaw speed high</v>
      </c>
      <c r="M1647" s="35" t="s">
        <v>291</v>
      </c>
      <c r="N1647" s="475"/>
      <c r="O1647" s="476">
        <v>0.13819444444444445</v>
      </c>
      <c r="P1647" s="476">
        <v>0.13819444444444445</v>
      </c>
      <c r="Q1647" s="477">
        <v>0.13958333333333334</v>
      </c>
      <c r="R1647" s="472">
        <f>IF(Table6[[#This Row],[Work Start TimeStamp]]="","",(Table6[[#This Row],[Work Start TimeStamp]]-Table6[[#This Row],[Fault Start TimeStamp]])*24)</f>
        <v>0</v>
      </c>
      <c r="S1647" s="472">
        <f>(Table6[[#This Row],[Fault Clearance time]]-Table6[[#This Row],[Work Start TimeStamp]])*24</f>
        <v>3.3333333333333215E-2</v>
      </c>
      <c r="T1647" s="472">
        <f>(Table6[[#This Row],[Fault Clearance time]]-Table6[[#This Row],[Fault Start TimeStamp]])*24</f>
        <v>3.3333333333333215E-2</v>
      </c>
      <c r="U1647" s="35" t="s">
        <v>1919</v>
      </c>
      <c r="V1647" s="102" t="s">
        <v>293</v>
      </c>
      <c r="W1647" s="549">
        <f>IFERROR(Table6[[#This Row],[Breakdown Time]]*Table6[[#This Row],[Plant Equivalent Weightage]],"")</f>
        <v>1.2820512820512771E-3</v>
      </c>
      <c r="X1647" s="473" t="s">
        <v>294</v>
      </c>
      <c r="Y1647" s="474" t="s">
        <v>80</v>
      </c>
      <c r="Z1647" s="102">
        <v>54330</v>
      </c>
      <c r="AA1647" s="468">
        <f>(Table6[[#This Row],[Paired WTG Generation for loss calculation]]/24)*Table6[[#This Row],[Breakdown Time]]</f>
        <v>75.458333333333059</v>
      </c>
      <c r="AB1647" s="102"/>
      <c r="AC1647" s="35"/>
      <c r="AD1647" s="35"/>
    </row>
    <row r="1648" spans="1:30">
      <c r="A1648" s="102">
        <f t="shared" si="26"/>
        <v>1647</v>
      </c>
      <c r="B1648" s="468">
        <f>YEAR(Table6[[#This Row],[Date]])+IF(MONTH(Table6[[#This Row],[Date]])&gt;=4,1,0)</f>
        <v>2026</v>
      </c>
      <c r="C1648" s="102">
        <f>YEAR(Table6[[#This Row],[Date]])</f>
        <v>2025</v>
      </c>
      <c r="D1648" s="102" t="s">
        <v>1986</v>
      </c>
      <c r="E1648" s="469">
        <f>Table6[[#This Row],[Date]]-DAY(Table6[[#This Row],[Date]])+1</f>
        <v>45839</v>
      </c>
      <c r="F1648" s="470">
        <v>45867</v>
      </c>
      <c r="G1648" s="35" t="s">
        <v>77</v>
      </c>
      <c r="H1648" s="35" t="str">
        <f>IFERROR(_xlfn.XLOOKUP(Table6[[#This Row],[Affected WTG]],'Basic Data'!$A:$A,'Basic Data'!$B:$B),"")</f>
        <v>TQGXIIPL</v>
      </c>
      <c r="I1648" s="35" t="str">
        <f>IFERROR(_xlfn.XLOOKUP(Table6[[#This Row],[Affected WTG]],'Basic Data'!$A:$A,'Basic Data'!$C:$C),"")</f>
        <v>GEDA</v>
      </c>
      <c r="J1648" s="471">
        <f>IFERROR(_xlfn.XLOOKUP(Table6[[#This Row],[Affected WTG]],'Basic Data'!$A:$A,'Basic Data'!$E:$E),"")</f>
        <v>3.846153846153845E-2</v>
      </c>
      <c r="K1648" s="102">
        <v>4970</v>
      </c>
      <c r="L1648" s="35" t="str">
        <f>IFERROR(_xlfn.XLOOKUP(Table6[[#This Row],[Error Code]],'Basic Data'!$AA:$AA,'Basic Data'!$AB:$AB),"Incorrect Error Code")</f>
        <v>Tower oscillation XF</v>
      </c>
      <c r="M1648" s="35" t="s">
        <v>291</v>
      </c>
      <c r="N1648" s="475"/>
      <c r="O1648" s="476">
        <v>0.42777777777777776</v>
      </c>
      <c r="P1648" s="476">
        <v>0.42777777777777776</v>
      </c>
      <c r="Q1648" s="477">
        <v>0.42916666666666664</v>
      </c>
      <c r="R1648" s="472">
        <f>IF(Table6[[#This Row],[Work Start TimeStamp]]="","",(Table6[[#This Row],[Work Start TimeStamp]]-Table6[[#This Row],[Fault Start TimeStamp]])*24)</f>
        <v>0</v>
      </c>
      <c r="S1648" s="472">
        <f>(Table6[[#This Row],[Fault Clearance time]]-Table6[[#This Row],[Work Start TimeStamp]])*24</f>
        <v>3.3333333333333215E-2</v>
      </c>
      <c r="T1648" s="472">
        <f>(Table6[[#This Row],[Fault Clearance time]]-Table6[[#This Row],[Fault Start TimeStamp]])*24</f>
        <v>3.3333333333333215E-2</v>
      </c>
      <c r="U1648" s="35" t="s">
        <v>1919</v>
      </c>
      <c r="V1648" s="102" t="s">
        <v>293</v>
      </c>
      <c r="W1648" s="549">
        <f>IFERROR(Table6[[#This Row],[Breakdown Time]]*Table6[[#This Row],[Plant Equivalent Weightage]],"")</f>
        <v>1.2820512820512771E-3</v>
      </c>
      <c r="X1648" s="473" t="s">
        <v>294</v>
      </c>
      <c r="Y1648" s="474" t="s">
        <v>80</v>
      </c>
      <c r="Z1648" s="102">
        <v>54330</v>
      </c>
      <c r="AA1648" s="468">
        <f>(Table6[[#This Row],[Paired WTG Generation for loss calculation]]/24)*Table6[[#This Row],[Breakdown Time]]</f>
        <v>75.458333333333059</v>
      </c>
      <c r="AB1648" s="102"/>
      <c r="AC1648" s="35"/>
      <c r="AD1648" s="35"/>
    </row>
    <row r="1649" spans="1:30">
      <c r="A1649" s="102">
        <f t="shared" si="26"/>
        <v>1648</v>
      </c>
      <c r="B1649" s="468">
        <f>YEAR(Table6[[#This Row],[Date]])+IF(MONTH(Table6[[#This Row],[Date]])&gt;=4,1,0)</f>
        <v>2026</v>
      </c>
      <c r="C1649" s="102">
        <f>YEAR(Table6[[#This Row],[Date]])</f>
        <v>2025</v>
      </c>
      <c r="D1649" s="102" t="s">
        <v>1986</v>
      </c>
      <c r="E1649" s="469">
        <f>Table6[[#This Row],[Date]]-DAY(Table6[[#This Row],[Date]])+1</f>
        <v>45839</v>
      </c>
      <c r="F1649" s="470">
        <v>45867</v>
      </c>
      <c r="G1649" s="35" t="s">
        <v>77</v>
      </c>
      <c r="H1649" s="35" t="str">
        <f>IFERROR(_xlfn.XLOOKUP(Table6[[#This Row],[Affected WTG]],'Basic Data'!$A:$A,'Basic Data'!$B:$B),"")</f>
        <v>TQGXIIPL</v>
      </c>
      <c r="I1649" s="35" t="str">
        <f>IFERROR(_xlfn.XLOOKUP(Table6[[#This Row],[Affected WTG]],'Basic Data'!$A:$A,'Basic Data'!$C:$C),"")</f>
        <v>GEDA</v>
      </c>
      <c r="J1649" s="471">
        <f>IFERROR(_xlfn.XLOOKUP(Table6[[#This Row],[Affected WTG]],'Basic Data'!$A:$A,'Basic Data'!$E:$E),"")</f>
        <v>3.846153846153845E-2</v>
      </c>
      <c r="K1649" s="102">
        <v>4540</v>
      </c>
      <c r="L1649" s="35" t="str">
        <f>IFERROR(_xlfn.XLOOKUP(Table6[[#This Row],[Error Code]],'Basic Data'!$AA:$AA,'Basic Data'!$AB:$AB),"Incorrect Error Code")</f>
        <v>Tower oscillation X level 2</v>
      </c>
      <c r="M1649" s="35" t="s">
        <v>291</v>
      </c>
      <c r="N1649" s="475"/>
      <c r="O1649" s="476">
        <v>0.49722222222222223</v>
      </c>
      <c r="P1649" s="476">
        <v>0.49722222222222223</v>
      </c>
      <c r="Q1649" s="477">
        <v>0.49930555555555556</v>
      </c>
      <c r="R1649" s="472">
        <f>IF(Table6[[#This Row],[Work Start TimeStamp]]="","",(Table6[[#This Row],[Work Start TimeStamp]]-Table6[[#This Row],[Fault Start TimeStamp]])*24)</f>
        <v>0</v>
      </c>
      <c r="S1649" s="472">
        <f>(Table6[[#This Row],[Fault Clearance time]]-Table6[[#This Row],[Work Start TimeStamp]])*24</f>
        <v>4.9999999999999822E-2</v>
      </c>
      <c r="T1649" s="472">
        <f>(Table6[[#This Row],[Fault Clearance time]]-Table6[[#This Row],[Fault Start TimeStamp]])*24</f>
        <v>4.9999999999999822E-2</v>
      </c>
      <c r="U1649" s="35" t="s">
        <v>1919</v>
      </c>
      <c r="V1649" s="102" t="s">
        <v>293</v>
      </c>
      <c r="W1649" s="549">
        <f>IFERROR(Table6[[#This Row],[Breakdown Time]]*Table6[[#This Row],[Plant Equivalent Weightage]],"")</f>
        <v>1.9230769230769156E-3</v>
      </c>
      <c r="X1649" s="473" t="s">
        <v>294</v>
      </c>
      <c r="Y1649" s="474" t="s">
        <v>80</v>
      </c>
      <c r="Z1649" s="102">
        <v>54330</v>
      </c>
      <c r="AA1649" s="468">
        <f>(Table6[[#This Row],[Paired WTG Generation for loss calculation]]/24)*Table6[[#This Row],[Breakdown Time]]</f>
        <v>113.1874999999996</v>
      </c>
      <c r="AB1649" s="102"/>
      <c r="AC1649" s="35"/>
      <c r="AD1649" s="35"/>
    </row>
    <row r="1650" spans="1:30">
      <c r="A1650" s="102">
        <f t="shared" si="26"/>
        <v>1649</v>
      </c>
      <c r="B1650" s="468">
        <f>YEAR(Table6[[#This Row],[Date]])+IF(MONTH(Table6[[#This Row],[Date]])&gt;=4,1,0)</f>
        <v>2026</v>
      </c>
      <c r="C1650" s="102">
        <f>YEAR(Table6[[#This Row],[Date]])</f>
        <v>2025</v>
      </c>
      <c r="D1650" s="102" t="s">
        <v>1986</v>
      </c>
      <c r="E1650" s="469">
        <f>Table6[[#This Row],[Date]]-DAY(Table6[[#This Row],[Date]])+1</f>
        <v>45839</v>
      </c>
      <c r="F1650" s="470">
        <v>45867</v>
      </c>
      <c r="G1650" s="35" t="s">
        <v>77</v>
      </c>
      <c r="H1650" s="35" t="str">
        <f>IFERROR(_xlfn.XLOOKUP(Table6[[#This Row],[Affected WTG]],'Basic Data'!$A:$A,'Basic Data'!$B:$B),"")</f>
        <v>TQGXIIPL</v>
      </c>
      <c r="I1650" s="35" t="str">
        <f>IFERROR(_xlfn.XLOOKUP(Table6[[#This Row],[Affected WTG]],'Basic Data'!$A:$A,'Basic Data'!$C:$C),"")</f>
        <v>GEDA</v>
      </c>
      <c r="J1650" s="471">
        <f>IFERROR(_xlfn.XLOOKUP(Table6[[#This Row],[Affected WTG]],'Basic Data'!$A:$A,'Basic Data'!$E:$E),"")</f>
        <v>3.846153846153845E-2</v>
      </c>
      <c r="K1650" s="102">
        <v>6130</v>
      </c>
      <c r="L1650" s="35" t="str">
        <f>IFERROR(_xlfn.XLOOKUP(Table6[[#This Row],[Error Code]],'Basic Data'!$AA:$AA,'Basic Data'!$AB:$AB),"Incorrect Error Code")</f>
        <v>Yaw speed high</v>
      </c>
      <c r="M1650" s="35" t="s">
        <v>291</v>
      </c>
      <c r="N1650" s="475"/>
      <c r="O1650" s="476">
        <v>0.68819444444444444</v>
      </c>
      <c r="P1650" s="476">
        <v>0.68819444444444444</v>
      </c>
      <c r="Q1650" s="477">
        <v>0.69166666666666665</v>
      </c>
      <c r="R1650" s="472">
        <f>IF(Table6[[#This Row],[Work Start TimeStamp]]="","",(Table6[[#This Row],[Work Start TimeStamp]]-Table6[[#This Row],[Fault Start TimeStamp]])*24)</f>
        <v>0</v>
      </c>
      <c r="S1650" s="472">
        <f>(Table6[[#This Row],[Fault Clearance time]]-Table6[[#This Row],[Work Start TimeStamp]])*24</f>
        <v>8.3333333333333037E-2</v>
      </c>
      <c r="T1650" s="472">
        <f>(Table6[[#This Row],[Fault Clearance time]]-Table6[[#This Row],[Fault Start TimeStamp]])*24</f>
        <v>8.3333333333333037E-2</v>
      </c>
      <c r="U1650" s="35" t="s">
        <v>1919</v>
      </c>
      <c r="V1650" s="102" t="s">
        <v>293</v>
      </c>
      <c r="W1650" s="549">
        <f>IFERROR(Table6[[#This Row],[Breakdown Time]]*Table6[[#This Row],[Plant Equivalent Weightage]],"")</f>
        <v>3.2051282051281929E-3</v>
      </c>
      <c r="X1650" s="473" t="s">
        <v>294</v>
      </c>
      <c r="Y1650" s="474" t="s">
        <v>80</v>
      </c>
      <c r="Z1650" s="102">
        <v>54330</v>
      </c>
      <c r="AA1650" s="468">
        <f>(Table6[[#This Row],[Paired WTG Generation for loss calculation]]/24)*Table6[[#This Row],[Breakdown Time]]</f>
        <v>188.64583333333266</v>
      </c>
      <c r="AB1650" s="102"/>
      <c r="AC1650" s="35"/>
      <c r="AD1650" s="35"/>
    </row>
    <row r="1651" spans="1:30">
      <c r="A1651" s="102">
        <f t="shared" si="26"/>
        <v>1650</v>
      </c>
      <c r="B1651" s="468">
        <f>YEAR(Table6[[#This Row],[Date]])+IF(MONTH(Table6[[#This Row],[Date]])&gt;=4,1,0)</f>
        <v>2026</v>
      </c>
      <c r="C1651" s="102">
        <f>YEAR(Table6[[#This Row],[Date]])</f>
        <v>2025</v>
      </c>
      <c r="D1651" s="102" t="s">
        <v>1986</v>
      </c>
      <c r="E1651" s="469">
        <f>Table6[[#This Row],[Date]]-DAY(Table6[[#This Row],[Date]])+1</f>
        <v>45839</v>
      </c>
      <c r="F1651" s="470">
        <v>45867</v>
      </c>
      <c r="G1651" s="35" t="s">
        <v>77</v>
      </c>
      <c r="H1651" s="35" t="str">
        <f>IFERROR(_xlfn.XLOOKUP(Table6[[#This Row],[Affected WTG]],'Basic Data'!$A:$A,'Basic Data'!$B:$B),"")</f>
        <v>TQGXIIPL</v>
      </c>
      <c r="I1651" s="35" t="str">
        <f>IFERROR(_xlfn.XLOOKUP(Table6[[#This Row],[Affected WTG]],'Basic Data'!$A:$A,'Basic Data'!$C:$C),"")</f>
        <v>GEDA</v>
      </c>
      <c r="J1651" s="471">
        <f>IFERROR(_xlfn.XLOOKUP(Table6[[#This Row],[Affected WTG]],'Basic Data'!$A:$A,'Basic Data'!$E:$E),"")</f>
        <v>3.846153846153845E-2</v>
      </c>
      <c r="K1651" s="102">
        <v>4970</v>
      </c>
      <c r="L1651" s="35" t="str">
        <f>IFERROR(_xlfn.XLOOKUP(Table6[[#This Row],[Error Code]],'Basic Data'!$AA:$AA,'Basic Data'!$AB:$AB),"Incorrect Error Code")</f>
        <v>Tower oscillation XF</v>
      </c>
      <c r="M1651" s="35" t="s">
        <v>291</v>
      </c>
      <c r="N1651" s="475"/>
      <c r="O1651" s="476">
        <v>0.80625000000000002</v>
      </c>
      <c r="P1651" s="476">
        <v>0.80625000000000002</v>
      </c>
      <c r="Q1651" s="477">
        <v>0.81041666666666667</v>
      </c>
      <c r="R1651" s="472">
        <f>IF(Table6[[#This Row],[Work Start TimeStamp]]="","",(Table6[[#This Row],[Work Start TimeStamp]]-Table6[[#This Row],[Fault Start TimeStamp]])*24)</f>
        <v>0</v>
      </c>
      <c r="S1651" s="472">
        <f>(Table6[[#This Row],[Fault Clearance time]]-Table6[[#This Row],[Work Start TimeStamp]])*24</f>
        <v>9.9999999999999645E-2</v>
      </c>
      <c r="T1651" s="472">
        <f>(Table6[[#This Row],[Fault Clearance time]]-Table6[[#This Row],[Fault Start TimeStamp]])*24</f>
        <v>9.9999999999999645E-2</v>
      </c>
      <c r="U1651" s="35" t="s">
        <v>1919</v>
      </c>
      <c r="V1651" s="102" t="s">
        <v>293</v>
      </c>
      <c r="W1651" s="549">
        <f>IFERROR(Table6[[#This Row],[Breakdown Time]]*Table6[[#This Row],[Plant Equivalent Weightage]],"")</f>
        <v>3.8461538461538312E-3</v>
      </c>
      <c r="X1651" s="473" t="s">
        <v>294</v>
      </c>
      <c r="Y1651" s="474" t="s">
        <v>80</v>
      </c>
      <c r="Z1651" s="102">
        <v>54330</v>
      </c>
      <c r="AA1651" s="468">
        <f>(Table6[[#This Row],[Paired WTG Generation for loss calculation]]/24)*Table6[[#This Row],[Breakdown Time]]</f>
        <v>226.3749999999992</v>
      </c>
      <c r="AB1651" s="102"/>
      <c r="AC1651" s="35"/>
      <c r="AD1651" s="35"/>
    </row>
    <row r="1652" spans="1:30">
      <c r="A1652" s="102">
        <f t="shared" si="26"/>
        <v>1651</v>
      </c>
      <c r="B1652" s="468">
        <f>YEAR(Table6[[#This Row],[Date]])+IF(MONTH(Table6[[#This Row],[Date]])&gt;=4,1,0)</f>
        <v>2026</v>
      </c>
      <c r="C1652" s="102">
        <f>YEAR(Table6[[#This Row],[Date]])</f>
        <v>2025</v>
      </c>
      <c r="D1652" s="102" t="s">
        <v>1986</v>
      </c>
      <c r="E1652" s="469">
        <f>Table6[[#This Row],[Date]]-DAY(Table6[[#This Row],[Date]])+1</f>
        <v>45839</v>
      </c>
      <c r="F1652" s="470">
        <v>45867</v>
      </c>
      <c r="G1652" s="35" t="s">
        <v>77</v>
      </c>
      <c r="H1652" s="35" t="str">
        <f>IFERROR(_xlfn.XLOOKUP(Table6[[#This Row],[Affected WTG]],'Basic Data'!$A:$A,'Basic Data'!$B:$B),"")</f>
        <v>TQGXIIPL</v>
      </c>
      <c r="I1652" s="35" t="str">
        <f>IFERROR(_xlfn.XLOOKUP(Table6[[#This Row],[Affected WTG]],'Basic Data'!$A:$A,'Basic Data'!$C:$C),"")</f>
        <v>GEDA</v>
      </c>
      <c r="J1652" s="471">
        <f>IFERROR(_xlfn.XLOOKUP(Table6[[#This Row],[Affected WTG]],'Basic Data'!$A:$A,'Basic Data'!$E:$E),"")</f>
        <v>3.846153846153845E-2</v>
      </c>
      <c r="K1652" s="102">
        <v>6130</v>
      </c>
      <c r="L1652" s="35" t="str">
        <f>IFERROR(_xlfn.XLOOKUP(Table6[[#This Row],[Error Code]],'Basic Data'!$AA:$AA,'Basic Data'!$AB:$AB),"Incorrect Error Code")</f>
        <v>Yaw speed high</v>
      </c>
      <c r="M1652" s="35" t="s">
        <v>291</v>
      </c>
      <c r="N1652" s="475"/>
      <c r="O1652" s="476">
        <v>0.83750000000000002</v>
      </c>
      <c r="P1652" s="476">
        <v>0.83750000000000002</v>
      </c>
      <c r="Q1652" s="477">
        <v>0.83958333333333335</v>
      </c>
      <c r="R1652" s="472">
        <f>IF(Table6[[#This Row],[Work Start TimeStamp]]="","",(Table6[[#This Row],[Work Start TimeStamp]]-Table6[[#This Row],[Fault Start TimeStamp]])*24)</f>
        <v>0</v>
      </c>
      <c r="S1652" s="472">
        <f>(Table6[[#This Row],[Fault Clearance time]]-Table6[[#This Row],[Work Start TimeStamp]])*24</f>
        <v>4.9999999999999822E-2</v>
      </c>
      <c r="T1652" s="472">
        <f>(Table6[[#This Row],[Fault Clearance time]]-Table6[[#This Row],[Fault Start TimeStamp]])*24</f>
        <v>4.9999999999999822E-2</v>
      </c>
      <c r="U1652" s="35" t="s">
        <v>1919</v>
      </c>
      <c r="V1652" s="102" t="s">
        <v>293</v>
      </c>
      <c r="W1652" s="549">
        <f>IFERROR(Table6[[#This Row],[Breakdown Time]]*Table6[[#This Row],[Plant Equivalent Weightage]],"")</f>
        <v>1.9230769230769156E-3</v>
      </c>
      <c r="X1652" s="473" t="s">
        <v>294</v>
      </c>
      <c r="Y1652" s="474" t="s">
        <v>80</v>
      </c>
      <c r="Z1652" s="102">
        <v>54330</v>
      </c>
      <c r="AA1652" s="468">
        <f>(Table6[[#This Row],[Paired WTG Generation for loss calculation]]/24)*Table6[[#This Row],[Breakdown Time]]</f>
        <v>113.1874999999996</v>
      </c>
      <c r="AB1652" s="102"/>
      <c r="AC1652" s="35"/>
      <c r="AD1652" s="35"/>
    </row>
    <row r="1653" spans="1:30">
      <c r="A1653" s="102">
        <f t="shared" si="26"/>
        <v>1652</v>
      </c>
      <c r="B1653" s="468">
        <f>YEAR(Table6[[#This Row],[Date]])+IF(MONTH(Table6[[#This Row],[Date]])&gt;=4,1,0)</f>
        <v>2026</v>
      </c>
      <c r="C1653" s="102">
        <f>YEAR(Table6[[#This Row],[Date]])</f>
        <v>2025</v>
      </c>
      <c r="D1653" s="102" t="s">
        <v>1986</v>
      </c>
      <c r="E1653" s="469">
        <f>Table6[[#This Row],[Date]]-DAY(Table6[[#This Row],[Date]])+1</f>
        <v>45839</v>
      </c>
      <c r="F1653" s="470">
        <v>45867</v>
      </c>
      <c r="G1653" s="35" t="s">
        <v>78</v>
      </c>
      <c r="H1653" s="35" t="str">
        <f>IFERROR(_xlfn.XLOOKUP(Table6[[#This Row],[Affected WTG]],'Basic Data'!$A:$A,'Basic Data'!$B:$B),"")</f>
        <v>TQGXIIPL</v>
      </c>
      <c r="I1653" s="35" t="str">
        <f>IFERROR(_xlfn.XLOOKUP(Table6[[#This Row],[Affected WTG]],'Basic Data'!$A:$A,'Basic Data'!$C:$C),"")</f>
        <v>GEDA</v>
      </c>
      <c r="J1653" s="471">
        <f>IFERROR(_xlfn.XLOOKUP(Table6[[#This Row],[Affected WTG]],'Basic Data'!$A:$A,'Basic Data'!$E:$E),"")</f>
        <v>3.846153846153845E-2</v>
      </c>
      <c r="K1653" s="102">
        <v>3000</v>
      </c>
      <c r="L1653" s="35" t="str">
        <f>IFERROR(_xlfn.XLOOKUP(Table6[[#This Row],[Error Code]],'Basic Data'!$AA:$AA,'Basic Data'!$AB:$AB),"Incorrect Error Code")</f>
        <v>Frequency converter not ready</v>
      </c>
      <c r="M1653" s="35" t="s">
        <v>291</v>
      </c>
      <c r="N1653" s="475"/>
      <c r="O1653" s="476">
        <v>0.74861111111111112</v>
      </c>
      <c r="P1653" s="476">
        <v>0.74861111111111112</v>
      </c>
      <c r="Q1653" s="477">
        <v>0.75624999999999998</v>
      </c>
      <c r="R1653" s="472">
        <f>IF(Table6[[#This Row],[Work Start TimeStamp]]="","",(Table6[[#This Row],[Work Start TimeStamp]]-Table6[[#This Row],[Fault Start TimeStamp]])*24)</f>
        <v>0</v>
      </c>
      <c r="S1653" s="472">
        <f>(Table6[[#This Row],[Fault Clearance time]]-Table6[[#This Row],[Work Start TimeStamp]])*24</f>
        <v>0.18333333333333268</v>
      </c>
      <c r="T1653" s="472">
        <f>(Table6[[#This Row],[Fault Clearance time]]-Table6[[#This Row],[Fault Start TimeStamp]])*24</f>
        <v>0.18333333333333268</v>
      </c>
      <c r="U1653" s="35" t="s">
        <v>1919</v>
      </c>
      <c r="V1653" s="102" t="s">
        <v>293</v>
      </c>
      <c r="W1653" s="549">
        <f>IFERROR(Table6[[#This Row],[Breakdown Time]]*Table6[[#This Row],[Plant Equivalent Weightage]],"")</f>
        <v>7.0512820512820245E-3</v>
      </c>
      <c r="X1653" s="473" t="s">
        <v>294</v>
      </c>
      <c r="Y1653" s="474" t="s">
        <v>75</v>
      </c>
      <c r="Z1653" s="102">
        <v>55924</v>
      </c>
      <c r="AA1653" s="468">
        <f>(Table6[[#This Row],[Paired WTG Generation for loss calculation]]/24)*Table6[[#This Row],[Breakdown Time]]</f>
        <v>427.19722222222066</v>
      </c>
      <c r="AB1653" s="102"/>
      <c r="AC1653" s="35"/>
      <c r="AD1653" s="35"/>
    </row>
    <row r="1654" spans="1:30">
      <c r="A1654" s="102">
        <f t="shared" si="26"/>
        <v>1653</v>
      </c>
      <c r="B1654" s="468">
        <f>YEAR(Table6[[#This Row],[Date]])+IF(MONTH(Table6[[#This Row],[Date]])&gt;=4,1,0)</f>
        <v>2026</v>
      </c>
      <c r="C1654" s="102">
        <f>YEAR(Table6[[#This Row],[Date]])</f>
        <v>2025</v>
      </c>
      <c r="D1654" s="102" t="s">
        <v>1986</v>
      </c>
      <c r="E1654" s="469">
        <f>Table6[[#This Row],[Date]]-DAY(Table6[[#This Row],[Date]])+1</f>
        <v>45839</v>
      </c>
      <c r="F1654" s="470">
        <v>45867</v>
      </c>
      <c r="G1654" s="35" t="s">
        <v>82</v>
      </c>
      <c r="H1654" s="35" t="str">
        <f>IFERROR(_xlfn.XLOOKUP(Table6[[#This Row],[Affected WTG]],'Basic Data'!$A:$A,'Basic Data'!$B:$B),"")</f>
        <v>TQGXIIPL</v>
      </c>
      <c r="I1654" s="35" t="str">
        <f>IFERROR(_xlfn.XLOOKUP(Table6[[#This Row],[Affected WTG]],'Basic Data'!$A:$A,'Basic Data'!$C:$C),"")</f>
        <v>GEDA</v>
      </c>
      <c r="J1654" s="471">
        <f>IFERROR(_xlfn.XLOOKUP(Table6[[#This Row],[Affected WTG]],'Basic Data'!$A:$A,'Basic Data'!$E:$E),"")</f>
        <v>3.846153846153845E-2</v>
      </c>
      <c r="K1654" s="102">
        <v>4970</v>
      </c>
      <c r="L1654" s="35" t="str">
        <f>IFERROR(_xlfn.XLOOKUP(Table6[[#This Row],[Error Code]],'Basic Data'!$AA:$AA,'Basic Data'!$AB:$AB),"Incorrect Error Code")</f>
        <v>Tower oscillation XF</v>
      </c>
      <c r="M1654" s="35" t="s">
        <v>291</v>
      </c>
      <c r="N1654" s="475"/>
      <c r="O1654" s="476">
        <v>0.41249999999999998</v>
      </c>
      <c r="P1654" s="476">
        <v>0.41249999999999998</v>
      </c>
      <c r="Q1654" s="477">
        <v>0.41458333333333336</v>
      </c>
      <c r="R1654" s="472">
        <f>IF(Table6[[#This Row],[Work Start TimeStamp]]="","",(Table6[[#This Row],[Work Start TimeStamp]]-Table6[[#This Row],[Fault Start TimeStamp]])*24)</f>
        <v>0</v>
      </c>
      <c r="S1654" s="472">
        <f>(Table6[[#This Row],[Fault Clearance time]]-Table6[[#This Row],[Work Start TimeStamp]])*24</f>
        <v>5.0000000000001155E-2</v>
      </c>
      <c r="T1654" s="472">
        <f>(Table6[[#This Row],[Fault Clearance time]]-Table6[[#This Row],[Fault Start TimeStamp]])*24</f>
        <v>5.0000000000001155E-2</v>
      </c>
      <c r="U1654" s="35" t="s">
        <v>1919</v>
      </c>
      <c r="V1654" s="102" t="s">
        <v>293</v>
      </c>
      <c r="W1654" s="549">
        <f>IFERROR(Table6[[#This Row],[Breakdown Time]]*Table6[[#This Row],[Plant Equivalent Weightage]],"")</f>
        <v>1.923076923076967E-3</v>
      </c>
      <c r="X1654" s="473" t="s">
        <v>294</v>
      </c>
      <c r="Y1654" s="474" t="s">
        <v>76</v>
      </c>
      <c r="Z1654" s="102">
        <v>53957</v>
      </c>
      <c r="AA1654" s="468">
        <f>(Table6[[#This Row],[Paired WTG Generation for loss calculation]]/24)*Table6[[#This Row],[Breakdown Time]]</f>
        <v>112.41041666666926</v>
      </c>
      <c r="AB1654" s="102"/>
      <c r="AC1654" s="35"/>
      <c r="AD1654" s="35"/>
    </row>
    <row r="1655" spans="1:30">
      <c r="A1655" s="102">
        <f t="shared" si="26"/>
        <v>1654</v>
      </c>
      <c r="B1655" s="468">
        <f>YEAR(Table6[[#This Row],[Date]])+IF(MONTH(Table6[[#This Row],[Date]])&gt;=4,1,0)</f>
        <v>2026</v>
      </c>
      <c r="C1655" s="102">
        <f>YEAR(Table6[[#This Row],[Date]])</f>
        <v>2025</v>
      </c>
      <c r="D1655" s="102" t="s">
        <v>1986</v>
      </c>
      <c r="E1655" s="469">
        <f>Table6[[#This Row],[Date]]-DAY(Table6[[#This Row],[Date]])+1</f>
        <v>45839</v>
      </c>
      <c r="F1655" s="470">
        <v>45867</v>
      </c>
      <c r="G1655" s="35" t="s">
        <v>84</v>
      </c>
      <c r="H1655" s="35" t="str">
        <f>IFERROR(_xlfn.XLOOKUP(Table6[[#This Row],[Affected WTG]],'Basic Data'!$A:$A,'Basic Data'!$B:$B),"")</f>
        <v>TQGXIIPL</v>
      </c>
      <c r="I1655" s="35" t="str">
        <f>IFERROR(_xlfn.XLOOKUP(Table6[[#This Row],[Affected WTG]],'Basic Data'!$A:$A,'Basic Data'!$C:$C),"")</f>
        <v>GEDA</v>
      </c>
      <c r="J1655" s="471">
        <f>IFERROR(_xlfn.XLOOKUP(Table6[[#This Row],[Affected WTG]],'Basic Data'!$A:$A,'Basic Data'!$E:$E),"")</f>
        <v>3.846153846153845E-2</v>
      </c>
      <c r="K1655" s="102">
        <v>4970</v>
      </c>
      <c r="L1655" s="35" t="str">
        <f>IFERROR(_xlfn.XLOOKUP(Table6[[#This Row],[Error Code]],'Basic Data'!$AA:$AA,'Basic Data'!$AB:$AB),"Incorrect Error Code")</f>
        <v>Tower oscillation XF</v>
      </c>
      <c r="M1655" s="35" t="s">
        <v>291</v>
      </c>
      <c r="N1655" s="475"/>
      <c r="O1655" s="476">
        <v>1.8055555555555554E-2</v>
      </c>
      <c r="P1655" s="476">
        <v>1.8055555555555554E-2</v>
      </c>
      <c r="Q1655" s="477">
        <v>2.4305555555555556E-2</v>
      </c>
      <c r="R1655" s="472">
        <f>IF(Table6[[#This Row],[Work Start TimeStamp]]="","",(Table6[[#This Row],[Work Start TimeStamp]]-Table6[[#This Row],[Fault Start TimeStamp]])*24)</f>
        <v>0</v>
      </c>
      <c r="S1655" s="472">
        <f>(Table6[[#This Row],[Fault Clearance time]]-Table6[[#This Row],[Work Start TimeStamp]])*24</f>
        <v>0.15000000000000005</v>
      </c>
      <c r="T1655" s="472">
        <f>(Table6[[#This Row],[Fault Clearance time]]-Table6[[#This Row],[Fault Start TimeStamp]])*24</f>
        <v>0.15000000000000005</v>
      </c>
      <c r="U1655" s="35" t="s">
        <v>1919</v>
      </c>
      <c r="V1655" s="102" t="s">
        <v>293</v>
      </c>
      <c r="W1655" s="549">
        <f>IFERROR(Table6[[#This Row],[Breakdown Time]]*Table6[[#This Row],[Plant Equivalent Weightage]],"")</f>
        <v>5.7692307692307696E-3</v>
      </c>
      <c r="X1655" s="473" t="s">
        <v>294</v>
      </c>
      <c r="Y1655" s="474" t="s">
        <v>86</v>
      </c>
      <c r="Z1655" s="102">
        <v>54906</v>
      </c>
      <c r="AA1655" s="468">
        <f>(Table6[[#This Row],[Paired WTG Generation for loss calculation]]/24)*Table6[[#This Row],[Breakdown Time]]</f>
        <v>343.16250000000014</v>
      </c>
      <c r="AB1655" s="102"/>
      <c r="AC1655" s="35"/>
      <c r="AD1655" s="35"/>
    </row>
    <row r="1656" spans="1:30">
      <c r="A1656" s="102">
        <f t="shared" si="26"/>
        <v>1655</v>
      </c>
      <c r="B1656" s="468">
        <f>YEAR(Table6[[#This Row],[Date]])+IF(MONTH(Table6[[#This Row],[Date]])&gt;=4,1,0)</f>
        <v>2026</v>
      </c>
      <c r="C1656" s="102">
        <f>YEAR(Table6[[#This Row],[Date]])</f>
        <v>2025</v>
      </c>
      <c r="D1656" s="102" t="s">
        <v>1986</v>
      </c>
      <c r="E1656" s="469">
        <f>Table6[[#This Row],[Date]]-DAY(Table6[[#This Row],[Date]])+1</f>
        <v>45839</v>
      </c>
      <c r="F1656" s="470">
        <v>45867</v>
      </c>
      <c r="G1656" s="35" t="s">
        <v>87</v>
      </c>
      <c r="H1656" s="35" t="str">
        <f>IFERROR(_xlfn.XLOOKUP(Table6[[#This Row],[Affected WTG]],'Basic Data'!$A:$A,'Basic Data'!$B:$B),"")</f>
        <v>TQGXIIPL</v>
      </c>
      <c r="I1656" s="35" t="str">
        <f>IFERROR(_xlfn.XLOOKUP(Table6[[#This Row],[Affected WTG]],'Basic Data'!$A:$A,'Basic Data'!$C:$C),"")</f>
        <v>GEDA</v>
      </c>
      <c r="J1656" s="471">
        <f>IFERROR(_xlfn.XLOOKUP(Table6[[#This Row],[Affected WTG]],'Basic Data'!$A:$A,'Basic Data'!$E:$E),"")</f>
        <v>3.846153846153845E-2</v>
      </c>
      <c r="K1656" s="102">
        <v>55</v>
      </c>
      <c r="L1656" s="35" t="str">
        <f>IFERROR(_xlfn.XLOOKUP(Table6[[#This Row],[Error Code]],'Basic Data'!$AA:$AA,'Basic Data'!$AB:$AB),"Incorrect Error Code")</f>
        <v>WTG shut down</v>
      </c>
      <c r="M1656" s="35" t="s">
        <v>291</v>
      </c>
      <c r="N1656" s="475"/>
      <c r="O1656" s="476">
        <v>0.71666666666666667</v>
      </c>
      <c r="P1656" s="476">
        <v>0.71666666666666667</v>
      </c>
      <c r="Q1656" s="477">
        <v>0.79166666666666663</v>
      </c>
      <c r="R1656" s="472">
        <f>IF(Table6[[#This Row],[Work Start TimeStamp]]="","",(Table6[[#This Row],[Work Start TimeStamp]]-Table6[[#This Row],[Fault Start TimeStamp]])*24)</f>
        <v>0</v>
      </c>
      <c r="S1656" s="472">
        <f>(Table6[[#This Row],[Fault Clearance time]]-Table6[[#This Row],[Work Start TimeStamp]])*24</f>
        <v>1.7999999999999989</v>
      </c>
      <c r="T1656" s="472">
        <f>(Table6[[#This Row],[Fault Clearance time]]-Table6[[#This Row],[Fault Start TimeStamp]])*24</f>
        <v>1.7999999999999989</v>
      </c>
      <c r="U1656" s="35" t="s">
        <v>2114</v>
      </c>
      <c r="V1656" s="102" t="s">
        <v>293</v>
      </c>
      <c r="W1656" s="549">
        <f>IFERROR(Table6[[#This Row],[Breakdown Time]]*Table6[[#This Row],[Plant Equivalent Weightage]],"")</f>
        <v>6.9230769230769165E-2</v>
      </c>
      <c r="X1656" s="473" t="s">
        <v>290</v>
      </c>
      <c r="Y1656" s="474" t="s">
        <v>85</v>
      </c>
      <c r="Z1656" s="102">
        <v>54573</v>
      </c>
      <c r="AA1656" s="468">
        <f>(Table6[[#This Row],[Paired WTG Generation for loss calculation]]/24)*Table6[[#This Row],[Breakdown Time]]</f>
        <v>4092.9749999999976</v>
      </c>
      <c r="AB1656" s="102"/>
      <c r="AC1656" s="35"/>
      <c r="AD1656" s="35"/>
    </row>
    <row r="1657" spans="1:30">
      <c r="A1657" s="102">
        <f t="shared" si="26"/>
        <v>1656</v>
      </c>
      <c r="B1657" s="468">
        <f>YEAR(Table6[[#This Row],[Date]])+IF(MONTH(Table6[[#This Row],[Date]])&gt;=4,1,0)</f>
        <v>2026</v>
      </c>
      <c r="C1657" s="102">
        <f>YEAR(Table6[[#This Row],[Date]])</f>
        <v>2025</v>
      </c>
      <c r="D1657" s="102" t="s">
        <v>1986</v>
      </c>
      <c r="E1657" s="469">
        <f>Table6[[#This Row],[Date]]-DAY(Table6[[#This Row],[Date]])+1</f>
        <v>45839</v>
      </c>
      <c r="F1657" s="470">
        <v>45867</v>
      </c>
      <c r="G1657" s="35" t="s">
        <v>90</v>
      </c>
      <c r="H1657" s="35" t="str">
        <f>IFERROR(_xlfn.XLOOKUP(Table6[[#This Row],[Affected WTG]],'Basic Data'!$A:$A,'Basic Data'!$B:$B),"")</f>
        <v>TQGXIIPL</v>
      </c>
      <c r="I1657" s="35" t="str">
        <f>IFERROR(_xlfn.XLOOKUP(Table6[[#This Row],[Affected WTG]],'Basic Data'!$A:$A,'Basic Data'!$C:$C),"")</f>
        <v>GEDA</v>
      </c>
      <c r="J1657" s="471">
        <f>IFERROR(_xlfn.XLOOKUP(Table6[[#This Row],[Affected WTG]],'Basic Data'!$A:$A,'Basic Data'!$E:$E),"")</f>
        <v>3.846153846153845E-2</v>
      </c>
      <c r="K1657" s="102">
        <v>4540</v>
      </c>
      <c r="L1657" s="35" t="str">
        <f>IFERROR(_xlfn.XLOOKUP(Table6[[#This Row],[Error Code]],'Basic Data'!$AA:$AA,'Basic Data'!$AB:$AB),"Incorrect Error Code")</f>
        <v>Tower oscillation X level 2</v>
      </c>
      <c r="M1657" s="35" t="s">
        <v>291</v>
      </c>
      <c r="N1657" s="475"/>
      <c r="O1657" s="476">
        <v>0.51944444444444449</v>
      </c>
      <c r="P1657" s="476">
        <v>0.51944444444444449</v>
      </c>
      <c r="Q1657" s="477">
        <v>0.5229166666666667</v>
      </c>
      <c r="R1657" s="472">
        <f>IF(Table6[[#This Row],[Work Start TimeStamp]]="","",(Table6[[#This Row],[Work Start TimeStamp]]-Table6[[#This Row],[Fault Start TimeStamp]])*24)</f>
        <v>0</v>
      </c>
      <c r="S1657" s="472">
        <f>(Table6[[#This Row],[Fault Clearance time]]-Table6[[#This Row],[Work Start TimeStamp]])*24</f>
        <v>8.3333333333333037E-2</v>
      </c>
      <c r="T1657" s="472">
        <f>(Table6[[#This Row],[Fault Clearance time]]-Table6[[#This Row],[Fault Start TimeStamp]])*24</f>
        <v>8.3333333333333037E-2</v>
      </c>
      <c r="U1657" s="35" t="s">
        <v>1919</v>
      </c>
      <c r="V1657" s="102" t="s">
        <v>293</v>
      </c>
      <c r="W1657" s="549">
        <f>IFERROR(Table6[[#This Row],[Breakdown Time]]*Table6[[#This Row],[Plant Equivalent Weightage]],"")</f>
        <v>3.2051282051281929E-3</v>
      </c>
      <c r="X1657" s="473" t="s">
        <v>294</v>
      </c>
      <c r="Y1657" s="474" t="s">
        <v>95</v>
      </c>
      <c r="Z1657" s="102">
        <v>40585</v>
      </c>
      <c r="AA1657" s="468">
        <f>(Table6[[#This Row],[Paired WTG Generation for loss calculation]]/24)*Table6[[#This Row],[Breakdown Time]]</f>
        <v>140.9201388888884</v>
      </c>
      <c r="AB1657" s="102"/>
      <c r="AC1657" s="35"/>
      <c r="AD1657" s="35"/>
    </row>
    <row r="1658" spans="1:30">
      <c r="A1658" s="102">
        <f t="shared" si="26"/>
        <v>1657</v>
      </c>
      <c r="B1658" s="468">
        <f>YEAR(Table6[[#This Row],[Date]])+IF(MONTH(Table6[[#This Row],[Date]])&gt;=4,1,0)</f>
        <v>2026</v>
      </c>
      <c r="C1658" s="102">
        <f>YEAR(Table6[[#This Row],[Date]])</f>
        <v>2025</v>
      </c>
      <c r="D1658" s="102" t="s">
        <v>1986</v>
      </c>
      <c r="E1658" s="469">
        <f>Table6[[#This Row],[Date]]-DAY(Table6[[#This Row],[Date]])+1</f>
        <v>45839</v>
      </c>
      <c r="F1658" s="470">
        <v>45867</v>
      </c>
      <c r="G1658" s="35" t="s">
        <v>90</v>
      </c>
      <c r="H1658" s="35" t="str">
        <f>IFERROR(_xlfn.XLOOKUP(Table6[[#This Row],[Affected WTG]],'Basic Data'!$A:$A,'Basic Data'!$B:$B),"")</f>
        <v>TQGXIIPL</v>
      </c>
      <c r="I1658" s="35" t="str">
        <f>IFERROR(_xlfn.XLOOKUP(Table6[[#This Row],[Affected WTG]],'Basic Data'!$A:$A,'Basic Data'!$C:$C),"")</f>
        <v>GEDA</v>
      </c>
      <c r="J1658" s="471">
        <f>IFERROR(_xlfn.XLOOKUP(Table6[[#This Row],[Affected WTG]],'Basic Data'!$A:$A,'Basic Data'!$E:$E),"")</f>
        <v>3.846153846153845E-2</v>
      </c>
      <c r="K1658" s="102">
        <v>4540</v>
      </c>
      <c r="L1658" s="35" t="str">
        <f>IFERROR(_xlfn.XLOOKUP(Table6[[#This Row],[Error Code]],'Basic Data'!$AA:$AA,'Basic Data'!$AB:$AB),"Incorrect Error Code")</f>
        <v>Tower oscillation X level 2</v>
      </c>
      <c r="M1658" s="35" t="s">
        <v>291</v>
      </c>
      <c r="N1658" s="475"/>
      <c r="O1658" s="476">
        <v>0.54513888888888884</v>
      </c>
      <c r="P1658" s="476">
        <v>0.54513888888888884</v>
      </c>
      <c r="Q1658" s="477">
        <v>0.54722222222222228</v>
      </c>
      <c r="R1658" s="472">
        <f>IF(Table6[[#This Row],[Work Start TimeStamp]]="","",(Table6[[#This Row],[Work Start TimeStamp]]-Table6[[#This Row],[Fault Start TimeStamp]])*24)</f>
        <v>0</v>
      </c>
      <c r="S1658" s="472">
        <f>(Table6[[#This Row],[Fault Clearance time]]-Table6[[#This Row],[Work Start TimeStamp]])*24</f>
        <v>5.0000000000002487E-2</v>
      </c>
      <c r="T1658" s="472">
        <f>(Table6[[#This Row],[Fault Clearance time]]-Table6[[#This Row],[Fault Start TimeStamp]])*24</f>
        <v>5.0000000000002487E-2</v>
      </c>
      <c r="U1658" s="35" t="s">
        <v>1919</v>
      </c>
      <c r="V1658" s="102" t="s">
        <v>293</v>
      </c>
      <c r="W1658" s="549">
        <f>IFERROR(Table6[[#This Row],[Breakdown Time]]*Table6[[#This Row],[Plant Equivalent Weightage]],"")</f>
        <v>1.9230769230770182E-3</v>
      </c>
      <c r="X1658" s="473" t="s">
        <v>294</v>
      </c>
      <c r="Y1658" s="474" t="s">
        <v>95</v>
      </c>
      <c r="Z1658" s="102">
        <v>40585</v>
      </c>
      <c r="AA1658" s="468">
        <f>(Table6[[#This Row],[Paired WTG Generation for loss calculation]]/24)*Table6[[#This Row],[Breakdown Time]]</f>
        <v>84.552083333337549</v>
      </c>
      <c r="AB1658" s="102"/>
      <c r="AC1658" s="35"/>
      <c r="AD1658" s="35"/>
    </row>
    <row r="1659" spans="1:30">
      <c r="A1659" s="102">
        <f t="shared" si="26"/>
        <v>1658</v>
      </c>
      <c r="B1659" s="468">
        <f>YEAR(Table6[[#This Row],[Date]])+IF(MONTH(Table6[[#This Row],[Date]])&gt;=4,1,0)</f>
        <v>2026</v>
      </c>
      <c r="C1659" s="102">
        <f>YEAR(Table6[[#This Row],[Date]])</f>
        <v>2025</v>
      </c>
      <c r="D1659" s="102" t="s">
        <v>1986</v>
      </c>
      <c r="E1659" s="469">
        <f>Table6[[#This Row],[Date]]-DAY(Table6[[#This Row],[Date]])+1</f>
        <v>45839</v>
      </c>
      <c r="F1659" s="470">
        <v>45867</v>
      </c>
      <c r="G1659" s="35" t="s">
        <v>95</v>
      </c>
      <c r="H1659" s="35" t="str">
        <f>IFERROR(_xlfn.XLOOKUP(Table6[[#This Row],[Affected WTG]],'Basic Data'!$A:$A,'Basic Data'!$B:$B),"")</f>
        <v>TQGXIIPL</v>
      </c>
      <c r="I1659" s="35" t="str">
        <f>IFERROR(_xlfn.XLOOKUP(Table6[[#This Row],[Affected WTG]],'Basic Data'!$A:$A,'Basic Data'!$C:$C),"")</f>
        <v>GEDA</v>
      </c>
      <c r="J1659" s="471">
        <f>IFERROR(_xlfn.XLOOKUP(Table6[[#This Row],[Affected WTG]],'Basic Data'!$A:$A,'Basic Data'!$E:$E),"")</f>
        <v>3.846153846153845E-2</v>
      </c>
      <c r="K1659" s="102">
        <v>6130</v>
      </c>
      <c r="L1659" s="35" t="str">
        <f>IFERROR(_xlfn.XLOOKUP(Table6[[#This Row],[Error Code]],'Basic Data'!$AA:$AA,'Basic Data'!$AB:$AB),"Incorrect Error Code")</f>
        <v>Yaw speed high</v>
      </c>
      <c r="M1659" s="35" t="s">
        <v>291</v>
      </c>
      <c r="N1659" s="475"/>
      <c r="O1659" s="476">
        <v>0.2673611111111111</v>
      </c>
      <c r="P1659" s="476">
        <v>0.2673611111111111</v>
      </c>
      <c r="Q1659" s="477">
        <v>0.26944444444444443</v>
      </c>
      <c r="R1659" s="472">
        <f>IF(Table6[[#This Row],[Work Start TimeStamp]]="","",(Table6[[#This Row],[Work Start TimeStamp]]-Table6[[#This Row],[Fault Start TimeStamp]])*24)</f>
        <v>0</v>
      </c>
      <c r="S1659" s="472">
        <f>(Table6[[#This Row],[Fault Clearance time]]-Table6[[#This Row],[Work Start TimeStamp]])*24</f>
        <v>4.9999999999999822E-2</v>
      </c>
      <c r="T1659" s="472">
        <f>(Table6[[#This Row],[Fault Clearance time]]-Table6[[#This Row],[Fault Start TimeStamp]])*24</f>
        <v>4.9999999999999822E-2</v>
      </c>
      <c r="U1659" s="35" t="s">
        <v>1919</v>
      </c>
      <c r="V1659" s="102" t="s">
        <v>293</v>
      </c>
      <c r="W1659" s="549">
        <f>IFERROR(Table6[[#This Row],[Breakdown Time]]*Table6[[#This Row],[Plant Equivalent Weightage]],"")</f>
        <v>1.9230769230769156E-3</v>
      </c>
      <c r="X1659" s="473" t="s">
        <v>294</v>
      </c>
      <c r="Y1659" s="474" t="s">
        <v>79</v>
      </c>
      <c r="Z1659" s="102">
        <v>49104</v>
      </c>
      <c r="AA1659" s="468">
        <f>(Table6[[#This Row],[Paired WTG Generation for loss calculation]]/24)*Table6[[#This Row],[Breakdown Time]]</f>
        <v>102.29999999999964</v>
      </c>
      <c r="AB1659" s="102"/>
      <c r="AC1659" s="35"/>
      <c r="AD1659" s="35"/>
    </row>
    <row r="1660" spans="1:30">
      <c r="A1660" s="102">
        <f t="shared" si="26"/>
        <v>1659</v>
      </c>
      <c r="B1660" s="468">
        <f>YEAR(Table6[[#This Row],[Date]])+IF(MONTH(Table6[[#This Row],[Date]])&gt;=4,1,0)</f>
        <v>2026</v>
      </c>
      <c r="C1660" s="102">
        <f>YEAR(Table6[[#This Row],[Date]])</f>
        <v>2025</v>
      </c>
      <c r="D1660" s="102" t="s">
        <v>1986</v>
      </c>
      <c r="E1660" s="469">
        <f>Table6[[#This Row],[Date]]-DAY(Table6[[#This Row],[Date]])+1</f>
        <v>45839</v>
      </c>
      <c r="F1660" s="470">
        <v>45867</v>
      </c>
      <c r="G1660" s="35" t="s">
        <v>95</v>
      </c>
      <c r="H1660" s="35" t="str">
        <f>IFERROR(_xlfn.XLOOKUP(Table6[[#This Row],[Affected WTG]],'Basic Data'!$A:$A,'Basic Data'!$B:$B),"")</f>
        <v>TQGXIIPL</v>
      </c>
      <c r="I1660" s="35" t="str">
        <f>IFERROR(_xlfn.XLOOKUP(Table6[[#This Row],[Affected WTG]],'Basic Data'!$A:$A,'Basic Data'!$C:$C),"")</f>
        <v>GEDA</v>
      </c>
      <c r="J1660" s="471">
        <f>IFERROR(_xlfn.XLOOKUP(Table6[[#This Row],[Affected WTG]],'Basic Data'!$A:$A,'Basic Data'!$E:$E),"")</f>
        <v>3.846153846153845E-2</v>
      </c>
      <c r="K1660" s="102">
        <v>665</v>
      </c>
      <c r="L1660" s="35" t="str">
        <f>IFERROR(_xlfn.XLOOKUP(Table6[[#This Row],[Error Code]],'Basic Data'!$AA:$AA,'Basic Data'!$AB:$AB),"Incorrect Error Code")</f>
        <v>Pitch error</v>
      </c>
      <c r="M1660" s="35" t="s">
        <v>292</v>
      </c>
      <c r="N1660" s="475"/>
      <c r="O1660" s="476">
        <v>0.27291666666666664</v>
      </c>
      <c r="P1660" s="476">
        <v>0.27291666666666664</v>
      </c>
      <c r="Q1660" s="477">
        <v>0.27638888888888891</v>
      </c>
      <c r="R1660" s="472">
        <f>IF(Table6[[#This Row],[Work Start TimeStamp]]="","",(Table6[[#This Row],[Work Start TimeStamp]]-Table6[[#This Row],[Fault Start TimeStamp]])*24)</f>
        <v>0</v>
      </c>
      <c r="S1660" s="472">
        <f>(Table6[[#This Row],[Fault Clearance time]]-Table6[[#This Row],[Work Start TimeStamp]])*24</f>
        <v>8.333333333333437E-2</v>
      </c>
      <c r="T1660" s="472">
        <f>(Table6[[#This Row],[Fault Clearance time]]-Table6[[#This Row],[Fault Start TimeStamp]])*24</f>
        <v>8.333333333333437E-2</v>
      </c>
      <c r="U1660" s="35" t="s">
        <v>336</v>
      </c>
      <c r="V1660" s="102" t="s">
        <v>293</v>
      </c>
      <c r="W1660" s="549">
        <f>IFERROR(Table6[[#This Row],[Breakdown Time]]*Table6[[#This Row],[Plant Equivalent Weightage]],"")</f>
        <v>3.205128205128244E-3</v>
      </c>
      <c r="X1660" s="473" t="s">
        <v>294</v>
      </c>
      <c r="Y1660" s="474" t="s">
        <v>79</v>
      </c>
      <c r="Z1660" s="102">
        <v>49104</v>
      </c>
      <c r="AA1660" s="468">
        <f>(Table6[[#This Row],[Paired WTG Generation for loss calculation]]/24)*Table6[[#This Row],[Breakdown Time]]</f>
        <v>170.50000000000213</v>
      </c>
      <c r="AB1660" s="102"/>
      <c r="AC1660" s="35"/>
      <c r="AD1660" s="35"/>
    </row>
    <row r="1661" spans="1:30">
      <c r="A1661" s="102">
        <f t="shared" si="26"/>
        <v>1660</v>
      </c>
      <c r="B1661" s="468">
        <f>YEAR(Table6[[#This Row],[Date]])+IF(MONTH(Table6[[#This Row],[Date]])&gt;=4,1,0)</f>
        <v>2026</v>
      </c>
      <c r="C1661" s="102">
        <f>YEAR(Table6[[#This Row],[Date]])</f>
        <v>2025</v>
      </c>
      <c r="D1661" s="102" t="s">
        <v>1986</v>
      </c>
      <c r="E1661" s="469">
        <f>Table6[[#This Row],[Date]]-DAY(Table6[[#This Row],[Date]])+1</f>
        <v>45839</v>
      </c>
      <c r="F1661" s="470">
        <v>45868</v>
      </c>
      <c r="G1661" s="35" t="s">
        <v>77</v>
      </c>
      <c r="H1661" s="35" t="str">
        <f>IFERROR(_xlfn.XLOOKUP(Table6[[#This Row],[Affected WTG]],'Basic Data'!$A:$A,'Basic Data'!$B:$B),"")</f>
        <v>TQGXIIPL</v>
      </c>
      <c r="I1661" s="35" t="str">
        <f>IFERROR(_xlfn.XLOOKUP(Table6[[#This Row],[Affected WTG]],'Basic Data'!$A:$A,'Basic Data'!$C:$C),"")</f>
        <v>GEDA</v>
      </c>
      <c r="J1661" s="471">
        <f>IFERROR(_xlfn.XLOOKUP(Table6[[#This Row],[Affected WTG]],'Basic Data'!$A:$A,'Basic Data'!$E:$E),"")</f>
        <v>3.846153846153845E-2</v>
      </c>
      <c r="K1661" s="102">
        <v>4970</v>
      </c>
      <c r="L1661" s="35" t="str">
        <f>IFERROR(_xlfn.XLOOKUP(Table6[[#This Row],[Error Code]],'Basic Data'!$AA:$AA,'Basic Data'!$AB:$AB),"Incorrect Error Code")</f>
        <v>Tower oscillation XF</v>
      </c>
      <c r="M1661" s="35" t="s">
        <v>291</v>
      </c>
      <c r="N1661" s="475"/>
      <c r="O1661" s="476">
        <v>0.12916666666666668</v>
      </c>
      <c r="P1661" s="476">
        <v>0.12916666666666668</v>
      </c>
      <c r="Q1661" s="477">
        <v>0.13402777777777777</v>
      </c>
      <c r="R1661" s="472">
        <f>IF(Table6[[#This Row],[Work Start TimeStamp]]="","",(Table6[[#This Row],[Work Start TimeStamp]]-Table6[[#This Row],[Fault Start TimeStamp]])*24)</f>
        <v>0</v>
      </c>
      <c r="S1661" s="472">
        <f>(Table6[[#This Row],[Fault Clearance time]]-Table6[[#This Row],[Work Start TimeStamp]])*24</f>
        <v>0.11666666666666625</v>
      </c>
      <c r="T1661" s="472">
        <f>(Table6[[#This Row],[Fault Clearance time]]-Table6[[#This Row],[Fault Start TimeStamp]])*24</f>
        <v>0.11666666666666625</v>
      </c>
      <c r="U1661" s="35" t="s">
        <v>1919</v>
      </c>
      <c r="V1661" s="102" t="s">
        <v>293</v>
      </c>
      <c r="W1661" s="549">
        <f>IFERROR(Table6[[#This Row],[Breakdown Time]]*Table6[[#This Row],[Plant Equivalent Weightage]],"")</f>
        <v>4.4871794871794695E-3</v>
      </c>
      <c r="X1661" s="473" t="s">
        <v>294</v>
      </c>
      <c r="Y1661" s="474" t="s">
        <v>80</v>
      </c>
      <c r="Z1661" s="102">
        <v>36708</v>
      </c>
      <c r="AA1661" s="468">
        <f>(Table6[[#This Row],[Paired WTG Generation for loss calculation]]/24)*Table6[[#This Row],[Breakdown Time]]</f>
        <v>178.44166666666604</v>
      </c>
      <c r="AB1661" s="102"/>
      <c r="AC1661" s="35"/>
      <c r="AD1661" s="35"/>
    </row>
    <row r="1662" spans="1:30">
      <c r="A1662" s="102">
        <f t="shared" si="26"/>
        <v>1661</v>
      </c>
      <c r="B1662" s="468">
        <f>YEAR(Table6[[#This Row],[Date]])+IF(MONTH(Table6[[#This Row],[Date]])&gt;=4,1,0)</f>
        <v>2026</v>
      </c>
      <c r="C1662" s="102">
        <f>YEAR(Table6[[#This Row],[Date]])</f>
        <v>2025</v>
      </c>
      <c r="D1662" s="102" t="s">
        <v>1986</v>
      </c>
      <c r="E1662" s="469">
        <f>Table6[[#This Row],[Date]]-DAY(Table6[[#This Row],[Date]])+1</f>
        <v>45839</v>
      </c>
      <c r="F1662" s="470">
        <v>45868</v>
      </c>
      <c r="G1662" s="35" t="s">
        <v>77</v>
      </c>
      <c r="H1662" s="35" t="str">
        <f>IFERROR(_xlfn.XLOOKUP(Table6[[#This Row],[Affected WTG]],'Basic Data'!$A:$A,'Basic Data'!$B:$B),"")</f>
        <v>TQGXIIPL</v>
      </c>
      <c r="I1662" s="35" t="str">
        <f>IFERROR(_xlfn.XLOOKUP(Table6[[#This Row],[Affected WTG]],'Basic Data'!$A:$A,'Basic Data'!$C:$C),"")</f>
        <v>GEDA</v>
      </c>
      <c r="J1662" s="471">
        <f>IFERROR(_xlfn.XLOOKUP(Table6[[#This Row],[Affected WTG]],'Basic Data'!$A:$A,'Basic Data'!$E:$E),"")</f>
        <v>3.846153846153845E-2</v>
      </c>
      <c r="K1662" s="102">
        <v>6130</v>
      </c>
      <c r="L1662" s="35" t="str">
        <f>IFERROR(_xlfn.XLOOKUP(Table6[[#This Row],[Error Code]],'Basic Data'!$AA:$AA,'Basic Data'!$AB:$AB),"Incorrect Error Code")</f>
        <v>Yaw speed high</v>
      </c>
      <c r="M1662" s="35" t="s">
        <v>291</v>
      </c>
      <c r="N1662" s="475"/>
      <c r="O1662" s="476">
        <v>0.52847222222222223</v>
      </c>
      <c r="P1662" s="476">
        <v>0.52847222222222223</v>
      </c>
      <c r="Q1662" s="477">
        <v>0.52916666666666667</v>
      </c>
      <c r="R1662" s="472">
        <f>IF(Table6[[#This Row],[Work Start TimeStamp]]="","",(Table6[[#This Row],[Work Start TimeStamp]]-Table6[[#This Row],[Fault Start TimeStamp]])*24)</f>
        <v>0</v>
      </c>
      <c r="S1662" s="472">
        <f>(Table6[[#This Row],[Fault Clearance time]]-Table6[[#This Row],[Work Start TimeStamp]])*24</f>
        <v>1.6666666666666607E-2</v>
      </c>
      <c r="T1662" s="472">
        <f>(Table6[[#This Row],[Fault Clearance time]]-Table6[[#This Row],[Fault Start TimeStamp]])*24</f>
        <v>1.6666666666666607E-2</v>
      </c>
      <c r="U1662" s="35" t="s">
        <v>1919</v>
      </c>
      <c r="V1662" s="102" t="s">
        <v>293</v>
      </c>
      <c r="W1662" s="549">
        <f>IFERROR(Table6[[#This Row],[Breakdown Time]]*Table6[[#This Row],[Plant Equivalent Weightage]],"")</f>
        <v>6.4102564102563853E-4</v>
      </c>
      <c r="X1662" s="473" t="s">
        <v>294</v>
      </c>
      <c r="Y1662" s="474" t="s">
        <v>80</v>
      </c>
      <c r="Z1662" s="102">
        <v>36708</v>
      </c>
      <c r="AA1662" s="468">
        <f>(Table6[[#This Row],[Paired WTG Generation for loss calculation]]/24)*Table6[[#This Row],[Breakdown Time]]</f>
        <v>25.491666666666575</v>
      </c>
      <c r="AB1662" s="102"/>
      <c r="AC1662" s="35"/>
      <c r="AD1662" s="35"/>
    </row>
    <row r="1663" spans="1:30">
      <c r="A1663" s="102">
        <f t="shared" si="26"/>
        <v>1662</v>
      </c>
      <c r="B1663" s="468">
        <f>YEAR(Table6[[#This Row],[Date]])+IF(MONTH(Table6[[#This Row],[Date]])&gt;=4,1,0)</f>
        <v>2026</v>
      </c>
      <c r="C1663" s="102">
        <f>YEAR(Table6[[#This Row],[Date]])</f>
        <v>2025</v>
      </c>
      <c r="D1663" s="102" t="s">
        <v>1986</v>
      </c>
      <c r="E1663" s="469">
        <f>Table6[[#This Row],[Date]]-DAY(Table6[[#This Row],[Date]])+1</f>
        <v>45839</v>
      </c>
      <c r="F1663" s="470">
        <v>45868</v>
      </c>
      <c r="G1663" s="35" t="s">
        <v>78</v>
      </c>
      <c r="H1663" s="35" t="str">
        <f>IFERROR(_xlfn.XLOOKUP(Table6[[#This Row],[Affected WTG]],'Basic Data'!$A:$A,'Basic Data'!$B:$B),"")</f>
        <v>TQGXIIPL</v>
      </c>
      <c r="I1663" s="35" t="str">
        <f>IFERROR(_xlfn.XLOOKUP(Table6[[#This Row],[Affected WTG]],'Basic Data'!$A:$A,'Basic Data'!$C:$C),"")</f>
        <v>GEDA</v>
      </c>
      <c r="J1663" s="471">
        <f>IFERROR(_xlfn.XLOOKUP(Table6[[#This Row],[Affected WTG]],'Basic Data'!$A:$A,'Basic Data'!$E:$E),"")</f>
        <v>3.846153846153845E-2</v>
      </c>
      <c r="K1663" s="102">
        <v>4970</v>
      </c>
      <c r="L1663" s="35" t="str">
        <f>IFERROR(_xlfn.XLOOKUP(Table6[[#This Row],[Error Code]],'Basic Data'!$AA:$AA,'Basic Data'!$AB:$AB),"Incorrect Error Code")</f>
        <v>Tower oscillation XF</v>
      </c>
      <c r="M1663" s="35" t="s">
        <v>291</v>
      </c>
      <c r="N1663" s="475"/>
      <c r="O1663" s="476">
        <v>0.41597222222222224</v>
      </c>
      <c r="P1663" s="476">
        <v>0.41597222222222224</v>
      </c>
      <c r="Q1663" s="477">
        <v>0.42152777777777778</v>
      </c>
      <c r="R1663" s="472">
        <f>IF(Table6[[#This Row],[Work Start TimeStamp]]="","",(Table6[[#This Row],[Work Start TimeStamp]]-Table6[[#This Row],[Fault Start TimeStamp]])*24)</f>
        <v>0</v>
      </c>
      <c r="S1663" s="472">
        <f>(Table6[[#This Row],[Fault Clearance time]]-Table6[[#This Row],[Work Start TimeStamp]])*24</f>
        <v>0.13333333333333286</v>
      </c>
      <c r="T1663" s="472">
        <f>(Table6[[#This Row],[Fault Clearance time]]-Table6[[#This Row],[Fault Start TimeStamp]])*24</f>
        <v>0.13333333333333286</v>
      </c>
      <c r="U1663" s="35" t="s">
        <v>1919</v>
      </c>
      <c r="V1663" s="102" t="s">
        <v>293</v>
      </c>
      <c r="W1663" s="549">
        <f>IFERROR(Table6[[#This Row],[Breakdown Time]]*Table6[[#This Row],[Plant Equivalent Weightage]],"")</f>
        <v>5.1282051282051083E-3</v>
      </c>
      <c r="X1663" s="473" t="s">
        <v>294</v>
      </c>
      <c r="Y1663" s="474" t="s">
        <v>75</v>
      </c>
      <c r="Z1663" s="102">
        <v>41526</v>
      </c>
      <c r="AA1663" s="468">
        <f>(Table6[[#This Row],[Paired WTG Generation for loss calculation]]/24)*Table6[[#This Row],[Breakdown Time]]</f>
        <v>230.69999999999919</v>
      </c>
      <c r="AB1663" s="102"/>
      <c r="AC1663" s="35"/>
      <c r="AD1663" s="35"/>
    </row>
    <row r="1664" spans="1:30">
      <c r="A1664" s="102">
        <f t="shared" si="26"/>
        <v>1663</v>
      </c>
      <c r="B1664" s="468">
        <f>YEAR(Table6[[#This Row],[Date]])+IF(MONTH(Table6[[#This Row],[Date]])&gt;=4,1,0)</f>
        <v>2026</v>
      </c>
      <c r="C1664" s="102">
        <f>YEAR(Table6[[#This Row],[Date]])</f>
        <v>2025</v>
      </c>
      <c r="D1664" s="102" t="s">
        <v>1986</v>
      </c>
      <c r="E1664" s="469">
        <f>Table6[[#This Row],[Date]]-DAY(Table6[[#This Row],[Date]])+1</f>
        <v>45839</v>
      </c>
      <c r="F1664" s="470">
        <v>45868</v>
      </c>
      <c r="G1664" s="35" t="s">
        <v>79</v>
      </c>
      <c r="H1664" s="35" t="str">
        <f>IFERROR(_xlfn.XLOOKUP(Table6[[#This Row],[Affected WTG]],'Basic Data'!$A:$A,'Basic Data'!$B:$B),"")</f>
        <v>TQGXIIPL</v>
      </c>
      <c r="I1664" s="35" t="str">
        <f>IFERROR(_xlfn.XLOOKUP(Table6[[#This Row],[Affected WTG]],'Basic Data'!$A:$A,'Basic Data'!$C:$C),"")</f>
        <v>GEDA</v>
      </c>
      <c r="J1664" s="471">
        <f>IFERROR(_xlfn.XLOOKUP(Table6[[#This Row],[Affected WTG]],'Basic Data'!$A:$A,'Basic Data'!$E:$E),"")</f>
        <v>3.846153846153845E-2</v>
      </c>
      <c r="K1664" s="102">
        <v>55</v>
      </c>
      <c r="L1664" s="35" t="str">
        <f>IFERROR(_xlfn.XLOOKUP(Table6[[#This Row],[Error Code]],'Basic Data'!$AA:$AA,'Basic Data'!$AB:$AB),"Incorrect Error Code")</f>
        <v>WTG shut down</v>
      </c>
      <c r="M1664" s="35" t="s">
        <v>291</v>
      </c>
      <c r="N1664" s="475"/>
      <c r="O1664" s="476">
        <v>0.65069444444444446</v>
      </c>
      <c r="P1664" s="476">
        <v>0.65069444444444446</v>
      </c>
      <c r="Q1664" s="477">
        <v>0.6645833333333333</v>
      </c>
      <c r="R1664" s="472">
        <f>IF(Table6[[#This Row],[Work Start TimeStamp]]="","",(Table6[[#This Row],[Work Start TimeStamp]]-Table6[[#This Row],[Fault Start TimeStamp]])*24)</f>
        <v>0</v>
      </c>
      <c r="S1664" s="472">
        <f>(Table6[[#This Row],[Fault Clearance time]]-Table6[[#This Row],[Work Start TimeStamp]])*24</f>
        <v>0.33333333333333215</v>
      </c>
      <c r="T1664" s="472">
        <f>(Table6[[#This Row],[Fault Clearance time]]-Table6[[#This Row],[Fault Start TimeStamp]])*24</f>
        <v>0.33333333333333215</v>
      </c>
      <c r="U1664" s="35" t="s">
        <v>2118</v>
      </c>
      <c r="V1664" s="102" t="s">
        <v>293</v>
      </c>
      <c r="W1664" s="549">
        <f>IFERROR(Table6[[#This Row],[Breakdown Time]]*Table6[[#This Row],[Plant Equivalent Weightage]],"")</f>
        <v>1.2820512820512771E-2</v>
      </c>
      <c r="X1664" s="473" t="s">
        <v>294</v>
      </c>
      <c r="Y1664" s="474" t="s">
        <v>94</v>
      </c>
      <c r="Z1664" s="102">
        <v>38190</v>
      </c>
      <c r="AA1664" s="468">
        <f>(Table6[[#This Row],[Paired WTG Generation for loss calculation]]/24)*Table6[[#This Row],[Breakdown Time]]</f>
        <v>530.41666666666481</v>
      </c>
      <c r="AB1664" s="102"/>
      <c r="AC1664" s="35"/>
      <c r="AD1664" s="35"/>
    </row>
    <row r="1665" spans="1:30">
      <c r="A1665" s="102">
        <f t="shared" si="26"/>
        <v>1664</v>
      </c>
      <c r="B1665" s="468">
        <f>YEAR(Table6[[#This Row],[Date]])+IF(MONTH(Table6[[#This Row],[Date]])&gt;=4,1,0)</f>
        <v>2026</v>
      </c>
      <c r="C1665" s="102">
        <f>YEAR(Table6[[#This Row],[Date]])</f>
        <v>2025</v>
      </c>
      <c r="D1665" s="102" t="s">
        <v>1986</v>
      </c>
      <c r="E1665" s="469">
        <f>Table6[[#This Row],[Date]]-DAY(Table6[[#This Row],[Date]])+1</f>
        <v>45839</v>
      </c>
      <c r="F1665" s="470">
        <v>45868</v>
      </c>
      <c r="G1665" s="35" t="s">
        <v>79</v>
      </c>
      <c r="H1665" s="35" t="str">
        <f>IFERROR(_xlfn.XLOOKUP(Table6[[#This Row],[Affected WTG]],'Basic Data'!$A:$A,'Basic Data'!$B:$B),"")</f>
        <v>TQGXIIPL</v>
      </c>
      <c r="I1665" s="35" t="str">
        <f>IFERROR(_xlfn.XLOOKUP(Table6[[#This Row],[Affected WTG]],'Basic Data'!$A:$A,'Basic Data'!$C:$C),"")</f>
        <v>GEDA</v>
      </c>
      <c r="J1665" s="471">
        <f>IFERROR(_xlfn.XLOOKUP(Table6[[#This Row],[Affected WTG]],'Basic Data'!$A:$A,'Basic Data'!$E:$E),"")</f>
        <v>3.846153846153845E-2</v>
      </c>
      <c r="K1665" s="102">
        <v>6130</v>
      </c>
      <c r="L1665" s="35" t="str">
        <f>IFERROR(_xlfn.XLOOKUP(Table6[[#This Row],[Error Code]],'Basic Data'!$AA:$AA,'Basic Data'!$AB:$AB),"Incorrect Error Code")</f>
        <v>Yaw speed high</v>
      </c>
      <c r="M1665" s="35" t="s">
        <v>292</v>
      </c>
      <c r="N1665" s="475"/>
      <c r="O1665" s="476">
        <v>0.64236111111111116</v>
      </c>
      <c r="P1665" s="476">
        <v>0.64236111111111116</v>
      </c>
      <c r="Q1665" s="477">
        <v>0.64652777777777781</v>
      </c>
      <c r="R1665" s="472">
        <f>IF(Table6[[#This Row],[Work Start TimeStamp]]="","",(Table6[[#This Row],[Work Start TimeStamp]]-Table6[[#This Row],[Fault Start TimeStamp]])*24)</f>
        <v>0</v>
      </c>
      <c r="S1665" s="472">
        <f>(Table6[[#This Row],[Fault Clearance time]]-Table6[[#This Row],[Work Start TimeStamp]])*24</f>
        <v>9.9999999999999645E-2</v>
      </c>
      <c r="T1665" s="472">
        <f>(Table6[[#This Row],[Fault Clearance time]]-Table6[[#This Row],[Fault Start TimeStamp]])*24</f>
        <v>9.9999999999999645E-2</v>
      </c>
      <c r="U1665" s="35" t="s">
        <v>336</v>
      </c>
      <c r="V1665" s="102" t="s">
        <v>293</v>
      </c>
      <c r="W1665" s="549">
        <f>IFERROR(Table6[[#This Row],[Breakdown Time]]*Table6[[#This Row],[Plant Equivalent Weightage]],"")</f>
        <v>3.8461538461538312E-3</v>
      </c>
      <c r="X1665" s="473" t="s">
        <v>294</v>
      </c>
      <c r="Y1665" s="474" t="s">
        <v>94</v>
      </c>
      <c r="Z1665" s="102">
        <v>38190</v>
      </c>
      <c r="AA1665" s="468">
        <f>(Table6[[#This Row],[Paired WTG Generation for loss calculation]]/24)*Table6[[#This Row],[Breakdown Time]]</f>
        <v>159.12499999999943</v>
      </c>
      <c r="AB1665" s="102"/>
      <c r="AC1665" s="35"/>
      <c r="AD1665" s="35"/>
    </row>
    <row r="1666" spans="1:30">
      <c r="A1666" s="102">
        <f t="shared" si="26"/>
        <v>1665</v>
      </c>
      <c r="B1666" s="468">
        <f>YEAR(Table6[[#This Row],[Date]])+IF(MONTH(Table6[[#This Row],[Date]])&gt;=4,1,0)</f>
        <v>2026</v>
      </c>
      <c r="C1666" s="102">
        <f>YEAR(Table6[[#This Row],[Date]])</f>
        <v>2025</v>
      </c>
      <c r="D1666" s="102" t="s">
        <v>1986</v>
      </c>
      <c r="E1666" s="469">
        <f>Table6[[#This Row],[Date]]-DAY(Table6[[#This Row],[Date]])+1</f>
        <v>45839</v>
      </c>
      <c r="F1666" s="470">
        <v>45868</v>
      </c>
      <c r="G1666" s="35" t="s">
        <v>85</v>
      </c>
      <c r="H1666" s="35" t="str">
        <f>IFERROR(_xlfn.XLOOKUP(Table6[[#This Row],[Affected WTG]],'Basic Data'!$A:$A,'Basic Data'!$B:$B),"")</f>
        <v>TQGXIIPL</v>
      </c>
      <c r="I1666" s="35" t="str">
        <f>IFERROR(_xlfn.XLOOKUP(Table6[[#This Row],[Affected WTG]],'Basic Data'!$A:$A,'Basic Data'!$C:$C),"")</f>
        <v>GEDA</v>
      </c>
      <c r="J1666" s="471">
        <f>IFERROR(_xlfn.XLOOKUP(Table6[[#This Row],[Affected WTG]],'Basic Data'!$A:$A,'Basic Data'!$E:$E),"")</f>
        <v>3.846153846153845E-2</v>
      </c>
      <c r="K1666" s="102">
        <v>55</v>
      </c>
      <c r="L1666" s="35" t="str">
        <f>IFERROR(_xlfn.XLOOKUP(Table6[[#This Row],[Error Code]],'Basic Data'!$AA:$AA,'Basic Data'!$AB:$AB),"Incorrect Error Code")</f>
        <v>WTG shut down</v>
      </c>
      <c r="M1666" s="35" t="s">
        <v>291</v>
      </c>
      <c r="N1666" s="475"/>
      <c r="O1666" s="476">
        <v>0.59097222222222223</v>
      </c>
      <c r="P1666" s="476">
        <v>0.59097222222222223</v>
      </c>
      <c r="Q1666" s="477">
        <v>0.61250000000000004</v>
      </c>
      <c r="R1666" s="472">
        <f>IF(Table6[[#This Row],[Work Start TimeStamp]]="","",(Table6[[#This Row],[Work Start TimeStamp]]-Table6[[#This Row],[Fault Start TimeStamp]])*24)</f>
        <v>0</v>
      </c>
      <c r="S1666" s="472">
        <f>(Table6[[#This Row],[Fault Clearance time]]-Table6[[#This Row],[Work Start TimeStamp]])*24</f>
        <v>0.5166666666666675</v>
      </c>
      <c r="T1666" s="472">
        <f>(Table6[[#This Row],[Fault Clearance time]]-Table6[[#This Row],[Fault Start TimeStamp]])*24</f>
        <v>0.5166666666666675</v>
      </c>
      <c r="U1666" s="35" t="s">
        <v>2118</v>
      </c>
      <c r="V1666" s="102" t="s">
        <v>293</v>
      </c>
      <c r="W1666" s="549">
        <f>IFERROR(Table6[[#This Row],[Breakdown Time]]*Table6[[#This Row],[Plant Equivalent Weightage]],"")</f>
        <v>1.9871794871794898E-2</v>
      </c>
      <c r="X1666" s="473" t="s">
        <v>294</v>
      </c>
      <c r="Y1666" s="474" t="s">
        <v>87</v>
      </c>
      <c r="Z1666" s="102">
        <v>9322</v>
      </c>
      <c r="AA1666" s="468">
        <f>(Table6[[#This Row],[Paired WTG Generation for loss calculation]]/24)*Table6[[#This Row],[Breakdown Time]]</f>
        <v>200.68194444444478</v>
      </c>
      <c r="AB1666" s="102"/>
      <c r="AC1666" s="35"/>
      <c r="AD1666" s="35"/>
    </row>
    <row r="1667" spans="1:30">
      <c r="A1667" s="102">
        <f t="shared" si="26"/>
        <v>1666</v>
      </c>
      <c r="B1667" s="468">
        <f>YEAR(Table6[[#This Row],[Date]])+IF(MONTH(Table6[[#This Row],[Date]])&gt;=4,1,0)</f>
        <v>2026</v>
      </c>
      <c r="C1667" s="102">
        <f>YEAR(Table6[[#This Row],[Date]])</f>
        <v>2025</v>
      </c>
      <c r="D1667" s="102" t="s">
        <v>1986</v>
      </c>
      <c r="E1667" s="469">
        <f>Table6[[#This Row],[Date]]-DAY(Table6[[#This Row],[Date]])+1</f>
        <v>45839</v>
      </c>
      <c r="F1667" s="470">
        <v>45868</v>
      </c>
      <c r="G1667" s="35" t="s">
        <v>86</v>
      </c>
      <c r="H1667" s="35" t="str">
        <f>IFERROR(_xlfn.XLOOKUP(Table6[[#This Row],[Affected WTG]],'Basic Data'!$A:$A,'Basic Data'!$B:$B),"")</f>
        <v>TQGXIIPL</v>
      </c>
      <c r="I1667" s="35" t="str">
        <f>IFERROR(_xlfn.XLOOKUP(Table6[[#This Row],[Affected WTG]],'Basic Data'!$A:$A,'Basic Data'!$C:$C),"")</f>
        <v>GEDA</v>
      </c>
      <c r="J1667" s="471">
        <f>IFERROR(_xlfn.XLOOKUP(Table6[[#This Row],[Affected WTG]],'Basic Data'!$A:$A,'Basic Data'!$E:$E),"")</f>
        <v>3.846153846153845E-2</v>
      </c>
      <c r="K1667" s="102">
        <v>6130</v>
      </c>
      <c r="L1667" s="35" t="str">
        <f>IFERROR(_xlfn.XLOOKUP(Table6[[#This Row],[Error Code]],'Basic Data'!$AA:$AA,'Basic Data'!$AB:$AB),"Incorrect Error Code")</f>
        <v>Yaw speed high</v>
      </c>
      <c r="M1667" s="35" t="s">
        <v>291</v>
      </c>
      <c r="N1667" s="475"/>
      <c r="O1667" s="476">
        <v>0.15069444444444444</v>
      </c>
      <c r="P1667" s="476">
        <v>0.15069444444444444</v>
      </c>
      <c r="Q1667" s="477">
        <v>0.15208333333333332</v>
      </c>
      <c r="R1667" s="472">
        <f>IF(Table6[[#This Row],[Work Start TimeStamp]]="","",(Table6[[#This Row],[Work Start TimeStamp]]-Table6[[#This Row],[Fault Start TimeStamp]])*24)</f>
        <v>0</v>
      </c>
      <c r="S1667" s="472">
        <f>(Table6[[#This Row],[Fault Clearance time]]-Table6[[#This Row],[Work Start TimeStamp]])*24</f>
        <v>3.3333333333333215E-2</v>
      </c>
      <c r="T1667" s="472">
        <f>(Table6[[#This Row],[Fault Clearance time]]-Table6[[#This Row],[Fault Start TimeStamp]])*24</f>
        <v>3.3333333333333215E-2</v>
      </c>
      <c r="U1667" s="35" t="s">
        <v>1919</v>
      </c>
      <c r="V1667" s="102" t="s">
        <v>293</v>
      </c>
      <c r="W1667" s="549">
        <f>IFERROR(Table6[[#This Row],[Breakdown Time]]*Table6[[#This Row],[Plant Equivalent Weightage]],"")</f>
        <v>1.2820512820512771E-3</v>
      </c>
      <c r="X1667" s="473" t="s">
        <v>294</v>
      </c>
      <c r="Y1667" s="474" t="s">
        <v>84</v>
      </c>
      <c r="Z1667" s="102">
        <v>35545</v>
      </c>
      <c r="AA1667" s="468">
        <f>(Table6[[#This Row],[Paired WTG Generation for loss calculation]]/24)*Table6[[#This Row],[Breakdown Time]]</f>
        <v>49.368055555555379</v>
      </c>
      <c r="AB1667" s="102"/>
      <c r="AC1667" s="35"/>
      <c r="AD1667" s="35"/>
    </row>
    <row r="1668" spans="1:30">
      <c r="A1668" s="102">
        <f t="shared" si="26"/>
        <v>1667</v>
      </c>
      <c r="B1668" s="468">
        <f>YEAR(Table6[[#This Row],[Date]])+IF(MONTH(Table6[[#This Row],[Date]])&gt;=4,1,0)</f>
        <v>2026</v>
      </c>
      <c r="C1668" s="102">
        <f>YEAR(Table6[[#This Row],[Date]])</f>
        <v>2025</v>
      </c>
      <c r="D1668" s="102" t="s">
        <v>1986</v>
      </c>
      <c r="E1668" s="469">
        <f>Table6[[#This Row],[Date]]-DAY(Table6[[#This Row],[Date]])+1</f>
        <v>45839</v>
      </c>
      <c r="F1668" s="470">
        <v>45868</v>
      </c>
      <c r="G1668" s="35" t="s">
        <v>87</v>
      </c>
      <c r="H1668" s="35" t="str">
        <f>IFERROR(_xlfn.XLOOKUP(Table6[[#This Row],[Affected WTG]],'Basic Data'!$A:$A,'Basic Data'!$B:$B),"")</f>
        <v>TQGXIIPL</v>
      </c>
      <c r="I1668" s="35" t="str">
        <f>IFERROR(_xlfn.XLOOKUP(Table6[[#This Row],[Affected WTG]],'Basic Data'!$A:$A,'Basic Data'!$C:$C),"")</f>
        <v>GEDA</v>
      </c>
      <c r="J1668" s="471">
        <f>IFERROR(_xlfn.XLOOKUP(Table6[[#This Row],[Affected WTG]],'Basic Data'!$A:$A,'Basic Data'!$E:$E),"")</f>
        <v>3.846153846153845E-2</v>
      </c>
      <c r="K1668" s="102">
        <v>55</v>
      </c>
      <c r="L1668" s="35" t="str">
        <f>IFERROR(_xlfn.XLOOKUP(Table6[[#This Row],[Error Code]],'Basic Data'!$AA:$AA,'Basic Data'!$AB:$AB),"Incorrect Error Code")</f>
        <v>WTG shut down</v>
      </c>
      <c r="M1668" s="35" t="s">
        <v>291</v>
      </c>
      <c r="N1668" s="475"/>
      <c r="O1668" s="476">
        <v>0.50277777777777777</v>
      </c>
      <c r="P1668" s="476">
        <v>0.50277777777777777</v>
      </c>
      <c r="Q1668" s="477">
        <v>0.72291666666666665</v>
      </c>
      <c r="R1668" s="472">
        <f>IF(Table6[[#This Row],[Work Start TimeStamp]]="","",(Table6[[#This Row],[Work Start TimeStamp]]-Table6[[#This Row],[Fault Start TimeStamp]])*24)</f>
        <v>0</v>
      </c>
      <c r="S1668" s="472">
        <f>(Table6[[#This Row],[Fault Clearance time]]-Table6[[#This Row],[Work Start TimeStamp]])*24</f>
        <v>5.2833333333333332</v>
      </c>
      <c r="T1668" s="472">
        <f>(Table6[[#This Row],[Fault Clearance time]]-Table6[[#This Row],[Fault Start TimeStamp]])*24</f>
        <v>5.2833333333333332</v>
      </c>
      <c r="U1668" s="35" t="s">
        <v>2119</v>
      </c>
      <c r="V1668" s="102" t="s">
        <v>293</v>
      </c>
      <c r="W1668" s="549">
        <f>IFERROR(Table6[[#This Row],[Breakdown Time]]*Table6[[#This Row],[Plant Equivalent Weightage]],"")</f>
        <v>0.20320512820512815</v>
      </c>
      <c r="X1668" s="473" t="s">
        <v>290</v>
      </c>
      <c r="Y1668" s="474" t="s">
        <v>85</v>
      </c>
      <c r="Z1668" s="102">
        <v>37225</v>
      </c>
      <c r="AA1668" s="468">
        <f>(Table6[[#This Row],[Paired WTG Generation for loss calculation]]/24)*Table6[[#This Row],[Breakdown Time]]</f>
        <v>8194.6701388888887</v>
      </c>
      <c r="AB1668" s="102"/>
      <c r="AC1668" s="35"/>
      <c r="AD1668" s="35"/>
    </row>
    <row r="1669" spans="1:30">
      <c r="A1669" s="102">
        <f t="shared" si="26"/>
        <v>1668</v>
      </c>
      <c r="B1669" s="468">
        <f>YEAR(Table6[[#This Row],[Date]])+IF(MONTH(Table6[[#This Row],[Date]])&gt;=4,1,0)</f>
        <v>2026</v>
      </c>
      <c r="C1669" s="102">
        <f>YEAR(Table6[[#This Row],[Date]])</f>
        <v>2025</v>
      </c>
      <c r="D1669" s="102" t="s">
        <v>1986</v>
      </c>
      <c r="E1669" s="469">
        <f>Table6[[#This Row],[Date]]-DAY(Table6[[#This Row],[Date]])+1</f>
        <v>45839</v>
      </c>
      <c r="F1669" s="470">
        <v>45868</v>
      </c>
      <c r="G1669" s="35" t="s">
        <v>88</v>
      </c>
      <c r="H1669" s="35" t="str">
        <f>IFERROR(_xlfn.XLOOKUP(Table6[[#This Row],[Affected WTG]],'Basic Data'!$A:$A,'Basic Data'!$B:$B),"")</f>
        <v>TQGXIIPL</v>
      </c>
      <c r="I1669" s="35" t="str">
        <f>IFERROR(_xlfn.XLOOKUP(Table6[[#This Row],[Affected WTG]],'Basic Data'!$A:$A,'Basic Data'!$C:$C),"")</f>
        <v>GEDA</v>
      </c>
      <c r="J1669" s="471">
        <f>IFERROR(_xlfn.XLOOKUP(Table6[[#This Row],[Affected WTG]],'Basic Data'!$A:$A,'Basic Data'!$E:$E),"")</f>
        <v>3.846153846153845E-2</v>
      </c>
      <c r="K1669" s="102">
        <v>3000</v>
      </c>
      <c r="L1669" s="35" t="str">
        <f>IFERROR(_xlfn.XLOOKUP(Table6[[#This Row],[Error Code]],'Basic Data'!$AA:$AA,'Basic Data'!$AB:$AB),"Incorrect Error Code")</f>
        <v>Frequency converter not ready</v>
      </c>
      <c r="M1669" s="35" t="s">
        <v>291</v>
      </c>
      <c r="N1669" s="475"/>
      <c r="O1669" s="476">
        <v>0.12013888888888889</v>
      </c>
      <c r="P1669" s="476">
        <v>0.12013888888888889</v>
      </c>
      <c r="Q1669" s="477">
        <v>0.12638888888888888</v>
      </c>
      <c r="R1669" s="472">
        <f>IF(Table6[[#This Row],[Work Start TimeStamp]]="","",(Table6[[#This Row],[Work Start TimeStamp]]-Table6[[#This Row],[Fault Start TimeStamp]])*24)</f>
        <v>0</v>
      </c>
      <c r="S1669" s="472">
        <f>(Table6[[#This Row],[Fault Clearance time]]-Table6[[#This Row],[Work Start TimeStamp]])*24</f>
        <v>0.1499999999999998</v>
      </c>
      <c r="T1669" s="472">
        <f>(Table6[[#This Row],[Fault Clearance time]]-Table6[[#This Row],[Fault Start TimeStamp]])*24</f>
        <v>0.1499999999999998</v>
      </c>
      <c r="U1669" s="35" t="s">
        <v>2113</v>
      </c>
      <c r="V1669" s="102" t="s">
        <v>293</v>
      </c>
      <c r="W1669" s="549">
        <f>IFERROR(Table6[[#This Row],[Breakdown Time]]*Table6[[#This Row],[Plant Equivalent Weightage]],"")</f>
        <v>5.76923076923076E-3</v>
      </c>
      <c r="X1669" s="473" t="s">
        <v>294</v>
      </c>
      <c r="Y1669" s="474" t="s">
        <v>83</v>
      </c>
      <c r="Z1669" s="102">
        <v>36521</v>
      </c>
      <c r="AA1669" s="468">
        <f>(Table6[[#This Row],[Paired WTG Generation for loss calculation]]/24)*Table6[[#This Row],[Breakdown Time]]</f>
        <v>228.25624999999968</v>
      </c>
      <c r="AB1669" s="102"/>
      <c r="AC1669" s="35"/>
      <c r="AD1669" s="35"/>
    </row>
    <row r="1670" spans="1:30">
      <c r="A1670" s="102">
        <f t="shared" si="26"/>
        <v>1669</v>
      </c>
      <c r="B1670" s="468">
        <f>YEAR(Table6[[#This Row],[Date]])+IF(MONTH(Table6[[#This Row],[Date]])&gt;=4,1,0)</f>
        <v>2026</v>
      </c>
      <c r="C1670" s="102">
        <f>YEAR(Table6[[#This Row],[Date]])</f>
        <v>2025</v>
      </c>
      <c r="D1670" s="102" t="s">
        <v>1986</v>
      </c>
      <c r="E1670" s="469">
        <f>Table6[[#This Row],[Date]]-DAY(Table6[[#This Row],[Date]])+1</f>
        <v>45839</v>
      </c>
      <c r="F1670" s="470">
        <v>45868</v>
      </c>
      <c r="G1670" s="35" t="s">
        <v>91</v>
      </c>
      <c r="H1670" s="35" t="str">
        <f>IFERROR(_xlfn.XLOOKUP(Table6[[#This Row],[Affected WTG]],'Basic Data'!$A:$A,'Basic Data'!$B:$B),"")</f>
        <v>TQGXIIPL</v>
      </c>
      <c r="I1670" s="35" t="str">
        <f>IFERROR(_xlfn.XLOOKUP(Table6[[#This Row],[Affected WTG]],'Basic Data'!$A:$A,'Basic Data'!$C:$C),"")</f>
        <v>GEDA</v>
      </c>
      <c r="J1670" s="471">
        <f>IFERROR(_xlfn.XLOOKUP(Table6[[#This Row],[Affected WTG]],'Basic Data'!$A:$A,'Basic Data'!$E:$E),"")</f>
        <v>3.846153846153845E-2</v>
      </c>
      <c r="K1670" s="102">
        <v>700</v>
      </c>
      <c r="L1670" s="35" t="str">
        <f>IFERROR(_xlfn.XLOOKUP(Table6[[#This Row],[Error Code]],'Basic Data'!$AA:$AA,'Basic Data'!$AB:$AB),"Incorrect Error Code")</f>
        <v>Batt. undervoltage/overvoltage</v>
      </c>
      <c r="M1670" s="35" t="s">
        <v>291</v>
      </c>
      <c r="N1670" s="475"/>
      <c r="O1670" s="476">
        <v>0.3034722222222222</v>
      </c>
      <c r="P1670" s="476">
        <v>0.3034722222222222</v>
      </c>
      <c r="Q1670" s="477">
        <v>0.30625000000000002</v>
      </c>
      <c r="R1670" s="472">
        <f>IF(Table6[[#This Row],[Work Start TimeStamp]]="","",(Table6[[#This Row],[Work Start TimeStamp]]-Table6[[#This Row],[Fault Start TimeStamp]])*24)</f>
        <v>0</v>
      </c>
      <c r="S1670" s="472">
        <f>(Table6[[#This Row],[Fault Clearance time]]-Table6[[#This Row],[Work Start TimeStamp]])*24</f>
        <v>6.6666666666667762E-2</v>
      </c>
      <c r="T1670" s="472">
        <f>(Table6[[#This Row],[Fault Clearance time]]-Table6[[#This Row],[Fault Start TimeStamp]])*24</f>
        <v>6.6666666666667762E-2</v>
      </c>
      <c r="U1670" s="35" t="s">
        <v>1919</v>
      </c>
      <c r="V1670" s="102" t="s">
        <v>293</v>
      </c>
      <c r="W1670" s="549">
        <f>IFERROR(Table6[[#This Row],[Breakdown Time]]*Table6[[#This Row],[Plant Equivalent Weightage]],"")</f>
        <v>2.5641025641026053E-3</v>
      </c>
      <c r="X1670" s="473" t="s">
        <v>294</v>
      </c>
      <c r="Y1670" s="474" t="s">
        <v>79</v>
      </c>
      <c r="Z1670" s="102">
        <v>35021</v>
      </c>
      <c r="AA1670" s="468">
        <f>(Table6[[#This Row],[Paired WTG Generation for loss calculation]]/24)*Table6[[#This Row],[Breakdown Time]]</f>
        <v>97.280555555557143</v>
      </c>
      <c r="AB1670" s="102"/>
      <c r="AC1670" s="35"/>
      <c r="AD1670" s="35"/>
    </row>
    <row r="1671" spans="1:30">
      <c r="A1671" s="102">
        <f t="shared" si="26"/>
        <v>1670</v>
      </c>
      <c r="B1671" s="468">
        <f>YEAR(Table6[[#This Row],[Date]])+IF(MONTH(Table6[[#This Row],[Date]])&gt;=4,1,0)</f>
        <v>2026</v>
      </c>
      <c r="C1671" s="102">
        <f>YEAR(Table6[[#This Row],[Date]])</f>
        <v>2025</v>
      </c>
      <c r="D1671" s="102" t="s">
        <v>1986</v>
      </c>
      <c r="E1671" s="469">
        <f>Table6[[#This Row],[Date]]-DAY(Table6[[#This Row],[Date]])+1</f>
        <v>45839</v>
      </c>
      <c r="F1671" s="470">
        <v>45868</v>
      </c>
      <c r="G1671" s="35" t="s">
        <v>97</v>
      </c>
      <c r="H1671" s="35" t="str">
        <f>IFERROR(_xlfn.XLOOKUP(Table6[[#This Row],[Affected WTG]],'Basic Data'!$A:$A,'Basic Data'!$B:$B),"")</f>
        <v>TQGXIIPL</v>
      </c>
      <c r="I1671" s="35" t="str">
        <f>IFERROR(_xlfn.XLOOKUP(Table6[[#This Row],[Affected WTG]],'Basic Data'!$A:$A,'Basic Data'!$C:$C),"")</f>
        <v>GEDA</v>
      </c>
      <c r="J1671" s="471">
        <f>IFERROR(_xlfn.XLOOKUP(Table6[[#This Row],[Affected WTG]],'Basic Data'!$A:$A,'Basic Data'!$E:$E),"")</f>
        <v>3.846153846153845E-2</v>
      </c>
      <c r="K1671" s="102">
        <v>700</v>
      </c>
      <c r="L1671" s="35" t="str">
        <f>IFERROR(_xlfn.XLOOKUP(Table6[[#This Row],[Error Code]],'Basic Data'!$AA:$AA,'Basic Data'!$AB:$AB),"Incorrect Error Code")</f>
        <v>Batt. undervoltage/overvoltage</v>
      </c>
      <c r="M1671" s="35" t="s">
        <v>291</v>
      </c>
      <c r="N1671" s="475"/>
      <c r="O1671" s="476">
        <v>0.4597222222222222</v>
      </c>
      <c r="P1671" s="476">
        <v>0.4597222222222222</v>
      </c>
      <c r="Q1671" s="477">
        <v>0.46041666666666664</v>
      </c>
      <c r="R1671" s="472">
        <f>IF(Table6[[#This Row],[Work Start TimeStamp]]="","",(Table6[[#This Row],[Work Start TimeStamp]]-Table6[[#This Row],[Fault Start TimeStamp]])*24)</f>
        <v>0</v>
      </c>
      <c r="S1671" s="472">
        <f>(Table6[[#This Row],[Fault Clearance time]]-Table6[[#This Row],[Work Start TimeStamp]])*24</f>
        <v>1.6666666666666607E-2</v>
      </c>
      <c r="T1671" s="472">
        <f>(Table6[[#This Row],[Fault Clearance time]]-Table6[[#This Row],[Fault Start TimeStamp]])*24</f>
        <v>1.6666666666666607E-2</v>
      </c>
      <c r="U1671" s="35" t="s">
        <v>1919</v>
      </c>
      <c r="V1671" s="102" t="s">
        <v>293</v>
      </c>
      <c r="W1671" s="549">
        <f>IFERROR(Table6[[#This Row],[Breakdown Time]]*Table6[[#This Row],[Plant Equivalent Weightage]],"")</f>
        <v>6.4102564102563853E-4</v>
      </c>
      <c r="X1671" s="473" t="s">
        <v>294</v>
      </c>
      <c r="Y1671" s="474" t="s">
        <v>93</v>
      </c>
      <c r="Z1671" s="102">
        <v>34433</v>
      </c>
      <c r="AA1671" s="468">
        <f>(Table6[[#This Row],[Paired WTG Generation for loss calculation]]/24)*Table6[[#This Row],[Breakdown Time]]</f>
        <v>23.911805555555468</v>
      </c>
      <c r="AB1671" s="102"/>
      <c r="AC1671" s="35"/>
      <c r="AD1671" s="35"/>
    </row>
    <row r="1672" spans="1:30">
      <c r="A1672" s="102">
        <f t="shared" si="26"/>
        <v>1671</v>
      </c>
      <c r="B1672" s="468">
        <f>YEAR(Table6[[#This Row],[Date]])+IF(MONTH(Table6[[#This Row],[Date]])&gt;=4,1,0)</f>
        <v>2026</v>
      </c>
      <c r="C1672" s="102">
        <f>YEAR(Table6[[#This Row],[Date]])</f>
        <v>2025</v>
      </c>
      <c r="D1672" s="102" t="s">
        <v>1986</v>
      </c>
      <c r="E1672" s="469">
        <f>Table6[[#This Row],[Date]]-DAY(Table6[[#This Row],[Date]])+1</f>
        <v>45839</v>
      </c>
      <c r="F1672" s="470">
        <v>45869</v>
      </c>
      <c r="G1672" s="35" t="s">
        <v>74</v>
      </c>
      <c r="H1672" s="35" t="str">
        <f>IFERROR(_xlfn.XLOOKUP(Table6[[#This Row],[Affected WTG]],'Basic Data'!$A:$A,'Basic Data'!$B:$B),"")</f>
        <v>TQGXIIPL</v>
      </c>
      <c r="I1672" s="35" t="str">
        <f>IFERROR(_xlfn.XLOOKUP(Table6[[#This Row],[Affected WTG]],'Basic Data'!$A:$A,'Basic Data'!$C:$C),"")</f>
        <v>GEDA</v>
      </c>
      <c r="J1672" s="471">
        <f>IFERROR(_xlfn.XLOOKUP(Table6[[#This Row],[Affected WTG]],'Basic Data'!$A:$A,'Basic Data'!$E:$E),"")</f>
        <v>3.846153846153845E-2</v>
      </c>
      <c r="K1672" s="102">
        <v>6130</v>
      </c>
      <c r="L1672" s="35" t="str">
        <f>IFERROR(_xlfn.XLOOKUP(Table6[[#This Row],[Error Code]],'Basic Data'!$AA:$AA,'Basic Data'!$AB:$AB),"Incorrect Error Code")</f>
        <v>Yaw speed high</v>
      </c>
      <c r="M1672" s="35" t="s">
        <v>291</v>
      </c>
      <c r="N1672" s="475"/>
      <c r="O1672" s="476">
        <v>0.6333333333333333</v>
      </c>
      <c r="P1672" s="476">
        <v>0.6333333333333333</v>
      </c>
      <c r="Q1672" s="477">
        <v>0.63472222222222219</v>
      </c>
      <c r="R1672" s="472">
        <f>IF(Table6[[#This Row],[Work Start TimeStamp]]="","",(Table6[[#This Row],[Work Start TimeStamp]]-Table6[[#This Row],[Fault Start TimeStamp]])*24)</f>
        <v>0</v>
      </c>
      <c r="S1672" s="472">
        <f>(Table6[[#This Row],[Fault Clearance time]]-Table6[[#This Row],[Work Start TimeStamp]])*24</f>
        <v>3.3333333333333215E-2</v>
      </c>
      <c r="T1672" s="472">
        <f>(Table6[[#This Row],[Fault Clearance time]]-Table6[[#This Row],[Fault Start TimeStamp]])*24</f>
        <v>3.3333333333333215E-2</v>
      </c>
      <c r="U1672" s="35" t="s">
        <v>1919</v>
      </c>
      <c r="V1672" s="102" t="s">
        <v>293</v>
      </c>
      <c r="W1672" s="549">
        <f>IFERROR(Table6[[#This Row],[Breakdown Time]]*Table6[[#This Row],[Plant Equivalent Weightage]],"")</f>
        <v>1.2820512820512771E-3</v>
      </c>
      <c r="X1672" s="473" t="s">
        <v>294</v>
      </c>
      <c r="Y1672" s="474" t="s">
        <v>99</v>
      </c>
      <c r="Z1672" s="102">
        <v>25348</v>
      </c>
      <c r="AA1672" s="468">
        <f>(Table6[[#This Row],[Paired WTG Generation for loss calculation]]/24)*Table6[[#This Row],[Breakdown Time]]</f>
        <v>35.205555555555435</v>
      </c>
      <c r="AB1672" s="102"/>
      <c r="AC1672" s="35"/>
      <c r="AD1672" s="35"/>
    </row>
    <row r="1673" spans="1:30">
      <c r="A1673" s="102">
        <f t="shared" si="26"/>
        <v>1672</v>
      </c>
      <c r="B1673" s="468">
        <f>YEAR(Table6[[#This Row],[Date]])+IF(MONTH(Table6[[#This Row],[Date]])&gt;=4,1,0)</f>
        <v>2026</v>
      </c>
      <c r="C1673" s="102">
        <f>YEAR(Table6[[#This Row],[Date]])</f>
        <v>2025</v>
      </c>
      <c r="D1673" s="102" t="s">
        <v>1986</v>
      </c>
      <c r="E1673" s="469">
        <f>Table6[[#This Row],[Date]]-DAY(Table6[[#This Row],[Date]])+1</f>
        <v>45839</v>
      </c>
      <c r="F1673" s="470">
        <v>45869</v>
      </c>
      <c r="G1673" s="35" t="s">
        <v>78</v>
      </c>
      <c r="H1673" s="35" t="str">
        <f>IFERROR(_xlfn.XLOOKUP(Table6[[#This Row],[Affected WTG]],'Basic Data'!$A:$A,'Basic Data'!$B:$B),"")</f>
        <v>TQGXIIPL</v>
      </c>
      <c r="I1673" s="35" t="str">
        <f>IFERROR(_xlfn.XLOOKUP(Table6[[#This Row],[Affected WTG]],'Basic Data'!$A:$A,'Basic Data'!$C:$C),"")</f>
        <v>GEDA</v>
      </c>
      <c r="J1673" s="471">
        <f>IFERROR(_xlfn.XLOOKUP(Table6[[#This Row],[Affected WTG]],'Basic Data'!$A:$A,'Basic Data'!$E:$E),"")</f>
        <v>3.846153846153845E-2</v>
      </c>
      <c r="K1673" s="102">
        <v>6605</v>
      </c>
      <c r="L1673" s="35" t="str">
        <f>IFERROR(_xlfn.XLOOKUP(Table6[[#This Row],[Error Code]],'Basic Data'!$AA:$AA,'Basic Data'!$AB:$AB),"Incorrect Error Code")</f>
        <v>Wind.dir. diff. level 2</v>
      </c>
      <c r="M1673" s="35" t="s">
        <v>291</v>
      </c>
      <c r="N1673" s="475"/>
      <c r="O1673" s="476">
        <v>0.55208333333333337</v>
      </c>
      <c r="P1673" s="476">
        <v>0.55208333333333337</v>
      </c>
      <c r="Q1673" s="477">
        <v>0.56180555555555556</v>
      </c>
      <c r="R1673" s="472">
        <f>IF(Table6[[#This Row],[Work Start TimeStamp]]="","",(Table6[[#This Row],[Work Start TimeStamp]]-Table6[[#This Row],[Fault Start TimeStamp]])*24)</f>
        <v>0</v>
      </c>
      <c r="S1673" s="472">
        <f>(Table6[[#This Row],[Fault Clearance time]]-Table6[[#This Row],[Work Start TimeStamp]])*24</f>
        <v>0.2333333333333325</v>
      </c>
      <c r="T1673" s="472">
        <f>(Table6[[#This Row],[Fault Clearance time]]-Table6[[#This Row],[Fault Start TimeStamp]])*24</f>
        <v>0.2333333333333325</v>
      </c>
      <c r="U1673" s="35" t="s">
        <v>2113</v>
      </c>
      <c r="V1673" s="102" t="s">
        <v>293</v>
      </c>
      <c r="W1673" s="549">
        <f>IFERROR(Table6[[#This Row],[Breakdown Time]]*Table6[[#This Row],[Plant Equivalent Weightage]],"")</f>
        <v>8.974358974358939E-3</v>
      </c>
      <c r="X1673" s="473" t="s">
        <v>294</v>
      </c>
      <c r="Y1673" s="474" t="s">
        <v>75</v>
      </c>
      <c r="Z1673" s="102">
        <v>26908</v>
      </c>
      <c r="AA1673" s="468">
        <f>(Table6[[#This Row],[Paired WTG Generation for loss calculation]]/24)*Table6[[#This Row],[Breakdown Time]]</f>
        <v>261.60555555555464</v>
      </c>
      <c r="AB1673" s="102"/>
      <c r="AC1673" s="35"/>
      <c r="AD1673" s="35"/>
    </row>
    <row r="1674" spans="1:30">
      <c r="A1674" s="102">
        <f t="shared" si="26"/>
        <v>1673</v>
      </c>
      <c r="B1674" s="468">
        <f>YEAR(Table6[[#This Row],[Date]])+IF(MONTH(Table6[[#This Row],[Date]])&gt;=4,1,0)</f>
        <v>2026</v>
      </c>
      <c r="C1674" s="102">
        <f>YEAR(Table6[[#This Row],[Date]])</f>
        <v>2025</v>
      </c>
      <c r="D1674" s="102" t="s">
        <v>1986</v>
      </c>
      <c r="E1674" s="469">
        <f>Table6[[#This Row],[Date]]-DAY(Table6[[#This Row],[Date]])+1</f>
        <v>45839</v>
      </c>
      <c r="F1674" s="470">
        <v>45869</v>
      </c>
      <c r="G1674" s="35" t="s">
        <v>83</v>
      </c>
      <c r="H1674" s="35" t="str">
        <f>IFERROR(_xlfn.XLOOKUP(Table6[[#This Row],[Affected WTG]],'Basic Data'!$A:$A,'Basic Data'!$B:$B),"")</f>
        <v>TQGXIIPL</v>
      </c>
      <c r="I1674" s="35" t="str">
        <f>IFERROR(_xlfn.XLOOKUP(Table6[[#This Row],[Affected WTG]],'Basic Data'!$A:$A,'Basic Data'!$C:$C),"")</f>
        <v>GEDA</v>
      </c>
      <c r="J1674" s="471">
        <f>IFERROR(_xlfn.XLOOKUP(Table6[[#This Row],[Affected WTG]],'Basic Data'!$A:$A,'Basic Data'!$E:$E),"")</f>
        <v>3.846153846153845E-2</v>
      </c>
      <c r="K1674" s="102">
        <v>665</v>
      </c>
      <c r="L1674" s="35" t="str">
        <f>IFERROR(_xlfn.XLOOKUP(Table6[[#This Row],[Error Code]],'Basic Data'!$AA:$AA,'Basic Data'!$AB:$AB),"Incorrect Error Code")</f>
        <v>Pitch error</v>
      </c>
      <c r="M1674" s="35" t="s">
        <v>292</v>
      </c>
      <c r="N1674" s="475"/>
      <c r="O1674" s="476">
        <v>0.20624999999999999</v>
      </c>
      <c r="P1674" s="476">
        <v>0.20624999999999999</v>
      </c>
      <c r="Q1674" s="477">
        <v>0.21458333333333332</v>
      </c>
      <c r="R1674" s="472">
        <f>IF(Table6[[#This Row],[Work Start TimeStamp]]="","",(Table6[[#This Row],[Work Start TimeStamp]]-Table6[[#This Row],[Fault Start TimeStamp]])*24)</f>
        <v>0</v>
      </c>
      <c r="S1674" s="472">
        <f>(Table6[[#This Row],[Fault Clearance time]]-Table6[[#This Row],[Work Start TimeStamp]])*24</f>
        <v>0.19999999999999996</v>
      </c>
      <c r="T1674" s="472">
        <f>(Table6[[#This Row],[Fault Clearance time]]-Table6[[#This Row],[Fault Start TimeStamp]])*24</f>
        <v>0.19999999999999996</v>
      </c>
      <c r="U1674" s="35" t="s">
        <v>336</v>
      </c>
      <c r="V1674" s="102" t="s">
        <v>293</v>
      </c>
      <c r="W1674" s="549">
        <f>IFERROR(Table6[[#This Row],[Breakdown Time]]*Table6[[#This Row],[Plant Equivalent Weightage]],"")</f>
        <v>7.6923076923076884E-3</v>
      </c>
      <c r="X1674" s="473" t="s">
        <v>294</v>
      </c>
      <c r="Y1674" s="474" t="s">
        <v>88</v>
      </c>
      <c r="Z1674" s="102">
        <v>24215</v>
      </c>
      <c r="AA1674" s="468">
        <f>(Table6[[#This Row],[Paired WTG Generation for loss calculation]]/24)*Table6[[#This Row],[Breakdown Time]]</f>
        <v>201.79166666666663</v>
      </c>
      <c r="AB1674" s="102"/>
      <c r="AC1674" s="35"/>
      <c r="AD1674" s="35"/>
    </row>
    <row r="1675" spans="1:30">
      <c r="A1675" s="102">
        <f t="shared" si="26"/>
        <v>1674</v>
      </c>
      <c r="B1675" s="468">
        <f>YEAR(Table6[[#This Row],[Date]])+IF(MONTH(Table6[[#This Row],[Date]])&gt;=4,1,0)</f>
        <v>2026</v>
      </c>
      <c r="C1675" s="102">
        <f>YEAR(Table6[[#This Row],[Date]])</f>
        <v>2025</v>
      </c>
      <c r="D1675" s="102" t="s">
        <v>1986</v>
      </c>
      <c r="E1675" s="469">
        <f>Table6[[#This Row],[Date]]-DAY(Table6[[#This Row],[Date]])+1</f>
        <v>45839</v>
      </c>
      <c r="F1675" s="470">
        <v>45869</v>
      </c>
      <c r="G1675" s="35" t="s">
        <v>85</v>
      </c>
      <c r="H1675" s="35" t="str">
        <f>IFERROR(_xlfn.XLOOKUP(Table6[[#This Row],[Affected WTG]],'Basic Data'!$A:$A,'Basic Data'!$B:$B),"")</f>
        <v>TQGXIIPL</v>
      </c>
      <c r="I1675" s="35" t="str">
        <f>IFERROR(_xlfn.XLOOKUP(Table6[[#This Row],[Affected WTG]],'Basic Data'!$A:$A,'Basic Data'!$C:$C),"")</f>
        <v>GEDA</v>
      </c>
      <c r="J1675" s="471">
        <f>IFERROR(_xlfn.XLOOKUP(Table6[[#This Row],[Affected WTG]],'Basic Data'!$A:$A,'Basic Data'!$E:$E),"")</f>
        <v>3.846153846153845E-2</v>
      </c>
      <c r="K1675" s="102">
        <v>55</v>
      </c>
      <c r="L1675" s="35" t="str">
        <f>IFERROR(_xlfn.XLOOKUP(Table6[[#This Row],[Error Code]],'Basic Data'!$AA:$AA,'Basic Data'!$AB:$AB),"Incorrect Error Code")</f>
        <v>WTG shut down</v>
      </c>
      <c r="M1675" s="35" t="s">
        <v>291</v>
      </c>
      <c r="N1675" s="475"/>
      <c r="O1675" s="476">
        <v>0.44236111111111109</v>
      </c>
      <c r="P1675" s="476">
        <v>0.44236111111111109</v>
      </c>
      <c r="Q1675" s="477">
        <v>0.47847222222222224</v>
      </c>
      <c r="R1675" s="472">
        <f>IF(Table6[[#This Row],[Work Start TimeStamp]]="","",(Table6[[#This Row],[Work Start TimeStamp]]-Table6[[#This Row],[Fault Start TimeStamp]])*24)</f>
        <v>0</v>
      </c>
      <c r="S1675" s="472">
        <f>(Table6[[#This Row],[Fault Clearance time]]-Table6[[#This Row],[Work Start TimeStamp]])*24</f>
        <v>0.86666666666666758</v>
      </c>
      <c r="T1675" s="472">
        <f>(Table6[[#This Row],[Fault Clearance time]]-Table6[[#This Row],[Fault Start TimeStamp]])*24</f>
        <v>0.86666666666666758</v>
      </c>
      <c r="U1675" s="35" t="s">
        <v>2120</v>
      </c>
      <c r="V1675" s="102" t="s">
        <v>293</v>
      </c>
      <c r="W1675" s="549">
        <f>IFERROR(Table6[[#This Row],[Breakdown Time]]*Table6[[#This Row],[Plant Equivalent Weightage]],"")</f>
        <v>3.3333333333333361E-2</v>
      </c>
      <c r="X1675" s="473" t="s">
        <v>290</v>
      </c>
      <c r="Y1675" s="474" t="s">
        <v>87</v>
      </c>
      <c r="Z1675" s="102">
        <v>11904</v>
      </c>
      <c r="AA1675" s="468">
        <f>(Table6[[#This Row],[Paired WTG Generation for loss calculation]]/24)*Table6[[#This Row],[Breakdown Time]]</f>
        <v>429.86666666666713</v>
      </c>
      <c r="AB1675" s="102"/>
      <c r="AC1675" s="35"/>
      <c r="AD1675" s="35"/>
    </row>
    <row r="1676" spans="1:30">
      <c r="A1676" s="102">
        <f t="shared" si="26"/>
        <v>1675</v>
      </c>
      <c r="B1676" s="468">
        <f>YEAR(Table6[[#This Row],[Date]])+IF(MONTH(Table6[[#This Row],[Date]])&gt;=4,1,0)</f>
        <v>2026</v>
      </c>
      <c r="C1676" s="102">
        <f>YEAR(Table6[[#This Row],[Date]])</f>
        <v>2025</v>
      </c>
      <c r="D1676" s="102" t="s">
        <v>1986</v>
      </c>
      <c r="E1676" s="469">
        <f>Table6[[#This Row],[Date]]-DAY(Table6[[#This Row],[Date]])+1</f>
        <v>45839</v>
      </c>
      <c r="F1676" s="470">
        <v>45869</v>
      </c>
      <c r="G1676" s="35" t="s">
        <v>85</v>
      </c>
      <c r="H1676" s="35" t="str">
        <f>IFERROR(_xlfn.XLOOKUP(Table6[[#This Row],[Affected WTG]],'Basic Data'!$A:$A,'Basic Data'!$B:$B),"")</f>
        <v>TQGXIIPL</v>
      </c>
      <c r="I1676" s="35" t="str">
        <f>IFERROR(_xlfn.XLOOKUP(Table6[[#This Row],[Affected WTG]],'Basic Data'!$A:$A,'Basic Data'!$C:$C),"")</f>
        <v>GEDA</v>
      </c>
      <c r="J1676" s="471">
        <f>IFERROR(_xlfn.XLOOKUP(Table6[[#This Row],[Affected WTG]],'Basic Data'!$A:$A,'Basic Data'!$E:$E),"")</f>
        <v>3.846153846153845E-2</v>
      </c>
      <c r="K1676" s="102">
        <v>55</v>
      </c>
      <c r="L1676" s="35" t="str">
        <f>IFERROR(_xlfn.XLOOKUP(Table6[[#This Row],[Error Code]],'Basic Data'!$AA:$AA,'Basic Data'!$AB:$AB),"Incorrect Error Code")</f>
        <v>WTG shut down</v>
      </c>
      <c r="M1676" s="35" t="s">
        <v>291</v>
      </c>
      <c r="N1676" s="475"/>
      <c r="O1676" s="476">
        <v>0.50694444444444442</v>
      </c>
      <c r="P1676" s="476">
        <v>0.50694444444444442</v>
      </c>
      <c r="Q1676" s="477">
        <v>0.52361111111111114</v>
      </c>
      <c r="R1676" s="472">
        <f>IF(Table6[[#This Row],[Work Start TimeStamp]]="","",(Table6[[#This Row],[Work Start TimeStamp]]-Table6[[#This Row],[Fault Start TimeStamp]])*24)</f>
        <v>0</v>
      </c>
      <c r="S1676" s="472">
        <f>(Table6[[#This Row],[Fault Clearance time]]-Table6[[#This Row],[Work Start TimeStamp]])*24</f>
        <v>0.40000000000000124</v>
      </c>
      <c r="T1676" s="472">
        <f>(Table6[[#This Row],[Fault Clearance time]]-Table6[[#This Row],[Fault Start TimeStamp]])*24</f>
        <v>0.40000000000000124</v>
      </c>
      <c r="U1676" s="35" t="s">
        <v>2121</v>
      </c>
      <c r="V1676" s="102" t="s">
        <v>293</v>
      </c>
      <c r="W1676" s="549">
        <f>IFERROR(Table6[[#This Row],[Breakdown Time]]*Table6[[#This Row],[Plant Equivalent Weightage]],"")</f>
        <v>1.5384615384615427E-2</v>
      </c>
      <c r="X1676" s="473" t="s">
        <v>290</v>
      </c>
      <c r="Y1676" s="474" t="s">
        <v>87</v>
      </c>
      <c r="Z1676" s="102">
        <v>11904</v>
      </c>
      <c r="AA1676" s="468">
        <f>(Table6[[#This Row],[Paired WTG Generation for loss calculation]]/24)*Table6[[#This Row],[Breakdown Time]]</f>
        <v>198.4000000000006</v>
      </c>
      <c r="AB1676" s="102"/>
      <c r="AC1676" s="35"/>
      <c r="AD1676" s="35"/>
    </row>
    <row r="1677" spans="1:30">
      <c r="A1677" s="102">
        <f t="shared" si="26"/>
        <v>1676</v>
      </c>
      <c r="B1677" s="468">
        <f>YEAR(Table6[[#This Row],[Date]])+IF(MONTH(Table6[[#This Row],[Date]])&gt;=4,1,0)</f>
        <v>2026</v>
      </c>
      <c r="C1677" s="102">
        <f>YEAR(Table6[[#This Row],[Date]])</f>
        <v>2025</v>
      </c>
      <c r="D1677" s="102" t="s">
        <v>1986</v>
      </c>
      <c r="E1677" s="469">
        <f>Table6[[#This Row],[Date]]-DAY(Table6[[#This Row],[Date]])+1</f>
        <v>45839</v>
      </c>
      <c r="F1677" s="470">
        <v>45869</v>
      </c>
      <c r="G1677" s="35" t="s">
        <v>88</v>
      </c>
      <c r="H1677" s="35" t="str">
        <f>IFERROR(_xlfn.XLOOKUP(Table6[[#This Row],[Affected WTG]],'Basic Data'!$A:$A,'Basic Data'!$B:$B),"")</f>
        <v>TQGXIIPL</v>
      </c>
      <c r="I1677" s="35" t="str">
        <f>IFERROR(_xlfn.XLOOKUP(Table6[[#This Row],[Affected WTG]],'Basic Data'!$A:$A,'Basic Data'!$C:$C),"")</f>
        <v>GEDA</v>
      </c>
      <c r="J1677" s="471">
        <f>IFERROR(_xlfn.XLOOKUP(Table6[[#This Row],[Affected WTG]],'Basic Data'!$A:$A,'Basic Data'!$E:$E),"")</f>
        <v>3.846153846153845E-2</v>
      </c>
      <c r="K1677" s="102">
        <v>3000</v>
      </c>
      <c r="L1677" s="35" t="str">
        <f>IFERROR(_xlfn.XLOOKUP(Table6[[#This Row],[Error Code]],'Basic Data'!$AA:$AA,'Basic Data'!$AB:$AB),"Incorrect Error Code")</f>
        <v>Frequency converter not ready</v>
      </c>
      <c r="M1677" s="35" t="s">
        <v>291</v>
      </c>
      <c r="N1677" s="475"/>
      <c r="O1677" s="476">
        <v>0.53055555555555556</v>
      </c>
      <c r="P1677" s="476">
        <v>0.53055555555555556</v>
      </c>
      <c r="Q1677" s="477">
        <v>0.55000000000000004</v>
      </c>
      <c r="R1677" s="472">
        <f>IF(Table6[[#This Row],[Work Start TimeStamp]]="","",(Table6[[#This Row],[Work Start TimeStamp]]-Table6[[#This Row],[Fault Start TimeStamp]])*24)</f>
        <v>0</v>
      </c>
      <c r="S1677" s="472">
        <f>(Table6[[#This Row],[Fault Clearance time]]-Table6[[#This Row],[Work Start TimeStamp]])*24</f>
        <v>0.46666666666666767</v>
      </c>
      <c r="T1677" s="472">
        <f>(Table6[[#This Row],[Fault Clearance time]]-Table6[[#This Row],[Fault Start TimeStamp]])*24</f>
        <v>0.46666666666666767</v>
      </c>
      <c r="U1677" s="35" t="s">
        <v>2110</v>
      </c>
      <c r="V1677" s="102" t="s">
        <v>293</v>
      </c>
      <c r="W1677" s="549">
        <f>IFERROR(Table6[[#This Row],[Breakdown Time]]*Table6[[#This Row],[Plant Equivalent Weightage]],"")</f>
        <v>1.7948717948717982E-2</v>
      </c>
      <c r="X1677" s="473" t="s">
        <v>294</v>
      </c>
      <c r="Y1677" s="474" t="s">
        <v>83</v>
      </c>
      <c r="Z1677" s="102">
        <v>25183</v>
      </c>
      <c r="AA1677" s="468">
        <f>(Table6[[#This Row],[Paired WTG Generation for loss calculation]]/24)*Table6[[#This Row],[Breakdown Time]]</f>
        <v>489.66944444444556</v>
      </c>
      <c r="AB1677" s="102"/>
      <c r="AC1677" s="35"/>
      <c r="AD1677" s="35"/>
    </row>
    <row r="1678" spans="1:30">
      <c r="A1678" s="102">
        <f t="shared" si="26"/>
        <v>1677</v>
      </c>
      <c r="B1678" s="468">
        <f>YEAR(Table6[[#This Row],[Date]])+IF(MONTH(Table6[[#This Row],[Date]])&gt;=4,1,0)</f>
        <v>2026</v>
      </c>
      <c r="C1678" s="102">
        <f>YEAR(Table6[[#This Row],[Date]])</f>
        <v>2025</v>
      </c>
      <c r="D1678" s="102" t="s">
        <v>1986</v>
      </c>
      <c r="E1678" s="469">
        <f>Table6[[#This Row],[Date]]-DAY(Table6[[#This Row],[Date]])+1</f>
        <v>45839</v>
      </c>
      <c r="F1678" s="470">
        <v>45869</v>
      </c>
      <c r="G1678" s="35" t="s">
        <v>88</v>
      </c>
      <c r="H1678" s="35" t="str">
        <f>IFERROR(_xlfn.XLOOKUP(Table6[[#This Row],[Affected WTG]],'Basic Data'!$A:$A,'Basic Data'!$B:$B),"")</f>
        <v>TQGXIIPL</v>
      </c>
      <c r="I1678" s="35" t="str">
        <f>IFERROR(_xlfn.XLOOKUP(Table6[[#This Row],[Affected WTG]],'Basic Data'!$A:$A,'Basic Data'!$C:$C),"")</f>
        <v>GEDA</v>
      </c>
      <c r="J1678" s="471">
        <f>IFERROR(_xlfn.XLOOKUP(Table6[[#This Row],[Affected WTG]],'Basic Data'!$A:$A,'Basic Data'!$E:$E),"")</f>
        <v>3.846153846153845E-2</v>
      </c>
      <c r="K1678" s="102">
        <v>3000</v>
      </c>
      <c r="L1678" s="35" t="str">
        <f>IFERROR(_xlfn.XLOOKUP(Table6[[#This Row],[Error Code]],'Basic Data'!$AA:$AA,'Basic Data'!$AB:$AB),"Incorrect Error Code")</f>
        <v>Frequency converter not ready</v>
      </c>
      <c r="M1678" s="35" t="s">
        <v>291</v>
      </c>
      <c r="N1678" s="475"/>
      <c r="O1678" s="476">
        <v>0.62986111111111109</v>
      </c>
      <c r="P1678" s="476">
        <v>0.62986111111111109</v>
      </c>
      <c r="Q1678" s="477">
        <v>0.65069444444444446</v>
      </c>
      <c r="R1678" s="472">
        <f>IF(Table6[[#This Row],[Work Start TimeStamp]]="","",(Table6[[#This Row],[Work Start TimeStamp]]-Table6[[#This Row],[Fault Start TimeStamp]])*24)</f>
        <v>0</v>
      </c>
      <c r="S1678" s="472">
        <f>(Table6[[#This Row],[Fault Clearance time]]-Table6[[#This Row],[Work Start TimeStamp]])*24</f>
        <v>0.50000000000000089</v>
      </c>
      <c r="T1678" s="472">
        <f>(Table6[[#This Row],[Fault Clearance time]]-Table6[[#This Row],[Fault Start TimeStamp]])*24</f>
        <v>0.50000000000000089</v>
      </c>
      <c r="U1678" s="35" t="s">
        <v>2122</v>
      </c>
      <c r="V1678" s="102" t="s">
        <v>293</v>
      </c>
      <c r="W1678" s="549">
        <f>IFERROR(Table6[[#This Row],[Breakdown Time]]*Table6[[#This Row],[Plant Equivalent Weightage]],"")</f>
        <v>1.923076923076926E-2</v>
      </c>
      <c r="X1678" s="473" t="s">
        <v>294</v>
      </c>
      <c r="Y1678" s="474" t="s">
        <v>83</v>
      </c>
      <c r="Z1678" s="102">
        <v>25183</v>
      </c>
      <c r="AA1678" s="468">
        <f>(Table6[[#This Row],[Paired WTG Generation for loss calculation]]/24)*Table6[[#This Row],[Breakdown Time]]</f>
        <v>524.64583333333428</v>
      </c>
      <c r="AB1678" s="102"/>
      <c r="AC1678" s="35"/>
      <c r="AD1678" s="35"/>
    </row>
    <row r="1679" spans="1:30">
      <c r="A1679" s="102">
        <f t="shared" ref="A1679:A1680" si="27">A1678+1</f>
        <v>1678</v>
      </c>
      <c r="B1679" s="468">
        <f>YEAR(Table6[[#This Row],[Date]])+IF(MONTH(Table6[[#This Row],[Date]])&gt;=4,1,0)</f>
        <v>2026</v>
      </c>
      <c r="C1679" s="102">
        <f>YEAR(Table6[[#This Row],[Date]])</f>
        <v>2025</v>
      </c>
      <c r="D1679" s="102" t="s">
        <v>1986</v>
      </c>
      <c r="E1679" s="469">
        <f>Table6[[#This Row],[Date]]-DAY(Table6[[#This Row],[Date]])+1</f>
        <v>45839</v>
      </c>
      <c r="F1679" s="470">
        <v>45869</v>
      </c>
      <c r="G1679" s="35" t="s">
        <v>88</v>
      </c>
      <c r="H1679" s="35" t="str">
        <f>IFERROR(_xlfn.XLOOKUP(Table6[[#This Row],[Affected WTG]],'Basic Data'!$A:$A,'Basic Data'!$B:$B),"")</f>
        <v>TQGXIIPL</v>
      </c>
      <c r="I1679" s="35" t="str">
        <f>IFERROR(_xlfn.XLOOKUP(Table6[[#This Row],[Affected WTG]],'Basic Data'!$A:$A,'Basic Data'!$C:$C),"")</f>
        <v>GEDA</v>
      </c>
      <c r="J1679" s="471">
        <f>IFERROR(_xlfn.XLOOKUP(Table6[[#This Row],[Affected WTG]],'Basic Data'!$A:$A,'Basic Data'!$E:$E),"")</f>
        <v>3.846153846153845E-2</v>
      </c>
      <c r="K1679" s="102">
        <v>3000</v>
      </c>
      <c r="L1679" s="35" t="str">
        <f>IFERROR(_xlfn.XLOOKUP(Table6[[#This Row],[Error Code]],'Basic Data'!$AA:$AA,'Basic Data'!$AB:$AB),"Incorrect Error Code")</f>
        <v>Frequency converter not ready</v>
      </c>
      <c r="M1679" s="35" t="s">
        <v>291</v>
      </c>
      <c r="N1679" s="475"/>
      <c r="O1679" s="476">
        <v>0.58194444444444449</v>
      </c>
      <c r="P1679" s="476">
        <v>0.58194444444444449</v>
      </c>
      <c r="Q1679" s="477">
        <v>0.60069444444444442</v>
      </c>
      <c r="R1679" s="472">
        <f>IF(Table6[[#This Row],[Work Start TimeStamp]]="","",(Table6[[#This Row],[Work Start TimeStamp]]-Table6[[#This Row],[Fault Start TimeStamp]])*24)</f>
        <v>0</v>
      </c>
      <c r="S1679" s="472">
        <f>(Table6[[#This Row],[Fault Clearance time]]-Table6[[#This Row],[Work Start TimeStamp]])*24</f>
        <v>0.4499999999999984</v>
      </c>
      <c r="T1679" s="472">
        <f>(Table6[[#This Row],[Fault Clearance time]]-Table6[[#This Row],[Fault Start TimeStamp]])*24</f>
        <v>0.4499999999999984</v>
      </c>
      <c r="U1679" s="35" t="s">
        <v>2110</v>
      </c>
      <c r="V1679" s="102" t="s">
        <v>293</v>
      </c>
      <c r="W1679" s="549">
        <f>IFERROR(Table6[[#This Row],[Breakdown Time]]*Table6[[#This Row],[Plant Equivalent Weightage]],"")</f>
        <v>1.7307692307692239E-2</v>
      </c>
      <c r="X1679" s="473" t="s">
        <v>290</v>
      </c>
      <c r="Y1679" s="474" t="s">
        <v>83</v>
      </c>
      <c r="Z1679" s="102">
        <v>25183</v>
      </c>
      <c r="AA1679" s="468">
        <f>(Table6[[#This Row],[Paired WTG Generation for loss calculation]]/24)*Table6[[#This Row],[Breakdown Time]]</f>
        <v>472.18124999999833</v>
      </c>
      <c r="AB1679" s="102"/>
      <c r="AC1679" s="35"/>
      <c r="AD1679" s="35"/>
    </row>
    <row r="1680" spans="1:30">
      <c r="A1680" s="102">
        <f t="shared" si="27"/>
        <v>1679</v>
      </c>
      <c r="B1680" s="468">
        <f>YEAR(Table6[[#This Row],[Date]])+IF(MONTH(Table6[[#This Row],[Date]])&gt;=4,1,0)</f>
        <v>2026</v>
      </c>
      <c r="C1680" s="102">
        <f>YEAR(Table6[[#This Row],[Date]])</f>
        <v>2025</v>
      </c>
      <c r="D1680" s="102" t="s">
        <v>1986</v>
      </c>
      <c r="E1680" s="469">
        <f>Table6[[#This Row],[Date]]-DAY(Table6[[#This Row],[Date]])+1</f>
        <v>45839</v>
      </c>
      <c r="F1680" s="470">
        <v>45869</v>
      </c>
      <c r="G1680" s="35" t="s">
        <v>92</v>
      </c>
      <c r="H1680" s="35" t="str">
        <f>IFERROR(_xlfn.XLOOKUP(Table6[[#This Row],[Affected WTG]],'Basic Data'!$A:$A,'Basic Data'!$B:$B),"")</f>
        <v>TQGXIIPL</v>
      </c>
      <c r="I1680" s="35" t="str">
        <f>IFERROR(_xlfn.XLOOKUP(Table6[[#This Row],[Affected WTG]],'Basic Data'!$A:$A,'Basic Data'!$C:$C),"")</f>
        <v>GEDA</v>
      </c>
      <c r="J1680" s="471">
        <f>IFERROR(_xlfn.XLOOKUP(Table6[[#This Row],[Affected WTG]],'Basic Data'!$A:$A,'Basic Data'!$E:$E),"")</f>
        <v>3.846153846153845E-2</v>
      </c>
      <c r="K1680" s="102">
        <v>4970</v>
      </c>
      <c r="L1680" s="35" t="str">
        <f>IFERROR(_xlfn.XLOOKUP(Table6[[#This Row],[Error Code]],'Basic Data'!$AA:$AA,'Basic Data'!$AB:$AB),"Incorrect Error Code")</f>
        <v>Tower oscillation XF</v>
      </c>
      <c r="M1680" s="35" t="s">
        <v>291</v>
      </c>
      <c r="N1680" s="475"/>
      <c r="O1680" s="476">
        <v>0.58194444444444449</v>
      </c>
      <c r="P1680" s="476">
        <v>0.58194444444444449</v>
      </c>
      <c r="Q1680" s="477">
        <v>0.59027777777777779</v>
      </c>
      <c r="R1680" s="472">
        <f>IF(Table6[[#This Row],[Work Start TimeStamp]]="","",(Table6[[#This Row],[Work Start TimeStamp]]-Table6[[#This Row],[Fault Start TimeStamp]])*24)</f>
        <v>0</v>
      </c>
      <c r="S1680" s="472">
        <f>(Table6[[#This Row],[Fault Clearance time]]-Table6[[#This Row],[Work Start TimeStamp]])*24</f>
        <v>0.19999999999999929</v>
      </c>
      <c r="T1680" s="472">
        <f>(Table6[[#This Row],[Fault Clearance time]]-Table6[[#This Row],[Fault Start TimeStamp]])*24</f>
        <v>0.19999999999999929</v>
      </c>
      <c r="U1680" s="35" t="s">
        <v>1919</v>
      </c>
      <c r="V1680" s="102" t="s">
        <v>293</v>
      </c>
      <c r="W1680" s="549">
        <f>IFERROR(Table6[[#This Row],[Breakdown Time]]*Table6[[#This Row],[Plant Equivalent Weightage]],"")</f>
        <v>7.6923076923076624E-3</v>
      </c>
      <c r="X1680" s="473" t="s">
        <v>294</v>
      </c>
      <c r="Y1680" s="474" t="s">
        <v>80</v>
      </c>
      <c r="Z1680" s="102">
        <v>28345</v>
      </c>
      <c r="AA1680" s="468">
        <f>(Table6[[#This Row],[Paired WTG Generation for loss calculation]]/24)*Table6[[#This Row],[Breakdown Time]]</f>
        <v>236.20833333333252</v>
      </c>
      <c r="AB1680" s="102"/>
      <c r="AC1680" s="35"/>
      <c r="AD1680" s="35"/>
    </row>
  </sheetData>
  <phoneticPr fontId="10" type="noConversion"/>
  <conditionalFormatting sqref="L1:L1680">
    <cfRule type="containsText" dxfId="4" priority="1" operator="containsText" text="Incorrect Error Code">
      <formula>NOT(ISERROR(SEARCH("Incorrect Error Code",L1)))</formula>
    </cfRule>
  </conditionalFormatting>
  <pageMargins left="0.7" right="0.7" top="0.75" bottom="0.75" header="0.3" footer="0.3"/>
  <ignoredErrors>
    <ignoredError sqref="Y1681: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G2:G1048576 Y2:Y1048576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9"/>
  <sheetViews>
    <sheetView zoomScale="80" workbookViewId="0">
      <pane xSplit="6" ySplit="1" topLeftCell="G132" activePane="bottomRight" state="frozen"/>
      <selection pane="topRight" activeCell="G1" sqref="G1"/>
      <selection pane="bottomLeft" activeCell="A2" sqref="A2"/>
      <selection pane="bottomRight" activeCell="M139" sqref="M139"/>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2022</v>
      </c>
      <c r="W1" s="21" t="s">
        <v>2023</v>
      </c>
      <c r="X1" s="481" t="s">
        <v>1984</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1909</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1909</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1909</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1909</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1809</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1806</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1807</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1808</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1808</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1909</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1811</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1812</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1814</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1817</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1818</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1818</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1822</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1821</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1823</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1824</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1824</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1830</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1852</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1821</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1831</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1829</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1824</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1824</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1832</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1832</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1832</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1830</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1852</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1837</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1838</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1850</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1851</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1852</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1856</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1857</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1837</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1858</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1821</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1859</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1908</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1893</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1893</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1893</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1837</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1894</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1882</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1904</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1883</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1904</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1986</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1884</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1904</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1986</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1885</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1904</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1986</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1886</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1904</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1986</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1887</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1904</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1986</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1888</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1904</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1986</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1889</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1904</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1986</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1904</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1986</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1890</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1904</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1986</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1891</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1904</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1986</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1892</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1904</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1986</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1837</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1907</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1986</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1986</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1837</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1894</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1986</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1837</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1894</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1986</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1882</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1905</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1986</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1883</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1905</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1986</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1885</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1906</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1986</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1886</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1906</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1986</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1887</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1905</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1986</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1891</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1905</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1986</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1892</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1905</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1986</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1898</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1894</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1986</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1899</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1903</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1986</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1885</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1905</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1986</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1891</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1905</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1986</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1883</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1905</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1986</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1899</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1903</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1986</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1986</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1902</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1903</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1986</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1898</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1894</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1986</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1898</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1894</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1986</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1882</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1905</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1986</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1887</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1905</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1986</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1891</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1905</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1986</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1892</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1905</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1986</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1886</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1905</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1986</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1885</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1905</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1986</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1883</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1905</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1986</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1912</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1913</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1986</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1886</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1905</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1986</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1892</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1905</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1986</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1909</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1986</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1986</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1884</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1934</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1986</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1957</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1958</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1986</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1959</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1986</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1957</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1969</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1986</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1957</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1969</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1986</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1957</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1969</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1986</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1957</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1970</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1986</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1971</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1986</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1968</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1971</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1986</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2019</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2021</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1986</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1971</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1986</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2020</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1971</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1986</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2016</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2017</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1986</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2026</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2027</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1986</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2028</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1986</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1968</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2028</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1986</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1957</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1969</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1986</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1898</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2047</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1986</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2067</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2059</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1986</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2068</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2060</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1986</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2069</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2060</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1986</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2070</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2060</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1986</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2065</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1986</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2068</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2066</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1986</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2069</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2066</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1986</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2070</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2066</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1986</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2026</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2083</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1986</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2067</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2017</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1986</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1968</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2028</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1986</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2026</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2102</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row r="158" spans="1:27">
      <c r="A158" s="102">
        <v>156</v>
      </c>
      <c r="B158" s="102">
        <f>YEAR(Table10[[#This Row],[Date]])+IF(MONTH(Table10[[#This Row],[Date]])&gt;=4,1,0)</f>
        <v>2026</v>
      </c>
      <c r="C158" s="102">
        <f>YEAR(Table10[[#This Row],[Date]])</f>
        <v>2025</v>
      </c>
      <c r="D158" s="102" t="s">
        <v>1986</v>
      </c>
      <c r="E158" s="469">
        <f>Table10[[#This Row],[Date]]-DAY(Table10[[#This Row],[Date]])+1</f>
        <v>45839</v>
      </c>
      <c r="F158" s="470">
        <v>45867</v>
      </c>
      <c r="G158" s="102" t="s">
        <v>79</v>
      </c>
      <c r="H158" s="102" t="str">
        <f>IFERROR(_xlfn.XLOOKUP(Table10[[#This Row],[Affected Feeder ]],'Basic Data'!$A$43:$A$70,'Basic Data'!$B$43:$B$70),"")</f>
        <v>TQGXIIPL</v>
      </c>
      <c r="I158" s="102" t="str">
        <f>IFERROR(_xlfn.XLOOKUP(Table10[[#This Row],[Affected Feeder ]],'Basic Data'!$A$43:$A$70,'Basic Data'!$C$43:$C$70),"")</f>
        <v>GEDA</v>
      </c>
      <c r="J158" s="550">
        <f>IFERROR(_xlfn.XLOOKUP(Table10[[#This Row],[Affected Feeder ]],'Basic Data'!$A$43:$A$70,'Basic Data'!$E$43:$E$70),"")</f>
        <v>3.846153846153845E-2</v>
      </c>
      <c r="K158" s="483" t="s">
        <v>2115</v>
      </c>
      <c r="L158" s="484">
        <v>0.67152777777777772</v>
      </c>
      <c r="M158" s="484">
        <v>0.67152777777777772</v>
      </c>
      <c r="N158" s="484">
        <v>0.70138888888888884</v>
      </c>
      <c r="O158" s="101">
        <f>(Table10[[#This Row],[Work Start TimeStamp]]-Table10[[#This Row],[Fault Start TimeStamp]])*24</f>
        <v>0</v>
      </c>
      <c r="P158" s="101">
        <f>IF(Table10[[#This Row],[Work Start TimeStamp]]="","",(Table10[[#This Row],[Fault Clearance time]]-Table10[[#This Row],[Work Start TimeStamp]])*24)</f>
        <v>0.71666666666666679</v>
      </c>
      <c r="Q158" s="544">
        <f>(Table10[[#This Row],[Fault Clearance time]]-Table10[[#This Row],[Fault Start TimeStamp]])*24</f>
        <v>0.71666666666666679</v>
      </c>
      <c r="R158" s="483" t="s">
        <v>2117</v>
      </c>
      <c r="S158" s="102" t="s">
        <v>293</v>
      </c>
      <c r="T158" s="485">
        <f>IFERROR(Table10[[#This Row],[Breakdown Time]]*Table10[[#This Row],[Plant Equivalent Weightage]],"")</f>
        <v>2.756410256410256E-2</v>
      </c>
      <c r="U158" s="102" t="s">
        <v>448</v>
      </c>
      <c r="V158" s="547">
        <f>IFERROR(_xlfn.XLOOKUP(Table10[[#This Row],[Date]],'Daily KPI'!$A:$A,'Daily KPI'!$M:$M),"")</f>
        <v>9.4641544306512415</v>
      </c>
      <c r="W158" s="102">
        <v>2435.5</v>
      </c>
      <c r="X158" s="102">
        <f>Table10[[#This Row],[WTG Loss]]*1*Table10[[#This Row],[Breakdown Time]]</f>
        <v>1745.4416666666671</v>
      </c>
      <c r="Y158" s="102" t="s">
        <v>449</v>
      </c>
      <c r="Z158" s="102"/>
      <c r="AA158" s="102"/>
    </row>
    <row r="159" spans="1:27">
      <c r="A159" s="102">
        <v>157</v>
      </c>
      <c r="B159" s="102">
        <f>YEAR(Table10[[#This Row],[Date]])+IF(MONTH(Table10[[#This Row],[Date]])&gt;=4,1,0)</f>
        <v>2026</v>
      </c>
      <c r="C159" s="102">
        <f>YEAR(Table10[[#This Row],[Date]])</f>
        <v>2025</v>
      </c>
      <c r="D159" s="102" t="s">
        <v>1986</v>
      </c>
      <c r="E159" s="469">
        <f>Table10[[#This Row],[Date]]-DAY(Table10[[#This Row],[Date]])+1</f>
        <v>45839</v>
      </c>
      <c r="F159" s="470">
        <v>45867</v>
      </c>
      <c r="G159" s="102" t="s">
        <v>94</v>
      </c>
      <c r="H159" s="102" t="str">
        <f>IFERROR(_xlfn.XLOOKUP(Table10[[#This Row],[Affected Feeder ]],'Basic Data'!$A$43:$A$70,'Basic Data'!$B$43:$B$70),"")</f>
        <v>TQGXIIPL</v>
      </c>
      <c r="I159" s="102" t="str">
        <f>IFERROR(_xlfn.XLOOKUP(Table10[[#This Row],[Affected Feeder ]],'Basic Data'!$A$43:$A$70,'Basic Data'!$C$43:$C$70),"")</f>
        <v>GEDA</v>
      </c>
      <c r="J159" s="550">
        <f>IFERROR(_xlfn.XLOOKUP(Table10[[#This Row],[Affected Feeder ]],'Basic Data'!$A$43:$A$70,'Basic Data'!$E$43:$E$70),"")</f>
        <v>3.846153846153845E-2</v>
      </c>
      <c r="K159" s="483" t="s">
        <v>2116</v>
      </c>
      <c r="L159" s="484">
        <v>0.6791666666666667</v>
      </c>
      <c r="M159" s="484">
        <v>0.6791666666666667</v>
      </c>
      <c r="N159" s="484">
        <v>0.71597222222222223</v>
      </c>
      <c r="O159" s="101">
        <f>(Table10[[#This Row],[Work Start TimeStamp]]-Table10[[#This Row],[Fault Start TimeStamp]])*24</f>
        <v>0</v>
      </c>
      <c r="P159" s="101">
        <f>IF(Table10[[#This Row],[Work Start TimeStamp]]="","",(Table10[[#This Row],[Fault Clearance time]]-Table10[[#This Row],[Work Start TimeStamp]])*24)</f>
        <v>0.88333333333333286</v>
      </c>
      <c r="Q159" s="544">
        <f>(Table10[[#This Row],[Fault Clearance time]]-Table10[[#This Row],[Fault Start TimeStamp]])*24</f>
        <v>0.88333333333333286</v>
      </c>
      <c r="R159" s="483" t="s">
        <v>2117</v>
      </c>
      <c r="S159" s="102" t="s">
        <v>293</v>
      </c>
      <c r="T159" s="485">
        <f>IFERROR(Table10[[#This Row],[Breakdown Time]]*Table10[[#This Row],[Plant Equivalent Weightage]],"")</f>
        <v>3.3974358974358944E-2</v>
      </c>
      <c r="U159" s="102" t="s">
        <v>448</v>
      </c>
      <c r="V159" s="547">
        <f>IFERROR(_xlfn.XLOOKUP(Table10[[#This Row],[Date]],'Daily KPI'!$A:$A,'Daily KPI'!$M:$M),"")</f>
        <v>9.4641544306512415</v>
      </c>
      <c r="W159" s="102">
        <v>2435.5</v>
      </c>
      <c r="X159" s="102">
        <f>Table10[[#This Row],[WTG Loss]]*1*Table10[[#This Row],[Breakdown Time]]</f>
        <v>2151.3583333333322</v>
      </c>
      <c r="Y159" s="102" t="s">
        <v>449</v>
      </c>
      <c r="Z159" s="102"/>
      <c r="AA159"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W160:W1048576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1987</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1984</v>
      </c>
      <c r="Z1" s="467" t="s">
        <v>1988</v>
      </c>
      <c r="AA1" s="467" t="s">
        <v>1989</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58" t="s">
        <v>1860</v>
      </c>
      <c r="B1" s="661" t="s">
        <v>1861</v>
      </c>
      <c r="C1" s="661" t="s">
        <v>1862</v>
      </c>
      <c r="D1" s="661" t="s">
        <v>1863</v>
      </c>
      <c r="E1" s="661" t="s">
        <v>1864</v>
      </c>
      <c r="F1" s="664" t="s">
        <v>1865</v>
      </c>
      <c r="G1" s="645">
        <v>2024</v>
      </c>
      <c r="H1" s="646"/>
      <c r="I1" s="646"/>
      <c r="J1" s="646"/>
      <c r="K1" s="361"/>
      <c r="L1" s="647">
        <v>2025</v>
      </c>
      <c r="M1" s="648"/>
      <c r="N1" s="648"/>
      <c r="O1" s="648"/>
      <c r="P1" s="648"/>
      <c r="Q1" s="649"/>
    </row>
    <row r="2" spans="1:17">
      <c r="A2" s="659"/>
      <c r="B2" s="662"/>
      <c r="C2" s="662"/>
      <c r="D2" s="662"/>
      <c r="E2" s="662"/>
      <c r="F2" s="665"/>
      <c r="G2" s="650" t="s">
        <v>1866</v>
      </c>
      <c r="H2" s="651"/>
      <c r="I2" s="651"/>
      <c r="J2" s="651"/>
      <c r="K2" s="652"/>
      <c r="L2" s="653" t="s">
        <v>1867</v>
      </c>
      <c r="M2" s="654"/>
      <c r="N2" s="654"/>
      <c r="O2" s="654"/>
      <c r="P2" s="654"/>
      <c r="Q2" s="655"/>
    </row>
    <row r="3" spans="1:17">
      <c r="A3" s="660"/>
      <c r="B3" s="663"/>
      <c r="C3" s="663"/>
      <c r="D3" s="663"/>
      <c r="E3" s="663"/>
      <c r="F3" s="666"/>
      <c r="G3" s="346" t="s">
        <v>1868</v>
      </c>
      <c r="H3" s="347" t="s">
        <v>1869</v>
      </c>
      <c r="I3" s="346" t="s">
        <v>1870</v>
      </c>
      <c r="J3" s="346" t="s">
        <v>1871</v>
      </c>
      <c r="K3" s="346" t="s">
        <v>1872</v>
      </c>
      <c r="L3" s="348" t="s">
        <v>1868</v>
      </c>
      <c r="M3" s="349" t="s">
        <v>1873</v>
      </c>
      <c r="N3" s="349" t="s">
        <v>1874</v>
      </c>
      <c r="O3" s="348" t="s">
        <v>1870</v>
      </c>
      <c r="P3" s="345" t="s">
        <v>1871</v>
      </c>
      <c r="Q3" s="362" t="s">
        <v>12</v>
      </c>
    </row>
    <row r="4" spans="1:17">
      <c r="A4" s="363">
        <v>1</v>
      </c>
      <c r="B4" s="153" t="s">
        <v>1875</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1875</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1876</v>
      </c>
      <c r="L5" s="351">
        <v>45719</v>
      </c>
      <c r="M5" s="356">
        <v>45727</v>
      </c>
      <c r="N5" s="356">
        <v>45728</v>
      </c>
      <c r="O5" s="352">
        <f t="shared" ref="O5:O21" si="3">M5-L5</f>
        <v>8</v>
      </c>
      <c r="P5" s="355"/>
      <c r="Q5" s="364"/>
    </row>
    <row r="6" spans="1:17">
      <c r="A6" s="365">
        <v>3</v>
      </c>
      <c r="B6" s="153" t="s">
        <v>1875</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1875</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1875</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1875</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1875</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1875</v>
      </c>
      <c r="C11" s="153" t="s">
        <v>331</v>
      </c>
      <c r="D11" s="153">
        <v>5337</v>
      </c>
      <c r="E11" s="350">
        <v>45401</v>
      </c>
      <c r="F11" s="350">
        <v>45427</v>
      </c>
      <c r="G11" s="351">
        <f t="shared" si="0"/>
        <v>45476</v>
      </c>
      <c r="H11" s="350">
        <v>45523</v>
      </c>
      <c r="I11" s="352">
        <f t="shared" si="1"/>
        <v>47</v>
      </c>
      <c r="J11" s="353">
        <f t="shared" si="2"/>
        <v>81.111111111111114</v>
      </c>
      <c r="K11" s="131" t="s">
        <v>1877</v>
      </c>
      <c r="L11" s="351">
        <v>45737</v>
      </c>
      <c r="M11" s="356">
        <v>45762</v>
      </c>
      <c r="N11" s="356">
        <v>45768</v>
      </c>
      <c r="O11" s="352">
        <f t="shared" si="3"/>
        <v>25</v>
      </c>
      <c r="P11" s="355"/>
      <c r="Q11" s="364"/>
    </row>
    <row r="12" spans="1:17">
      <c r="A12" s="365">
        <v>9</v>
      </c>
      <c r="B12" s="153" t="s">
        <v>1875</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1875</v>
      </c>
      <c r="C13" s="153" t="s">
        <v>309</v>
      </c>
      <c r="D13" s="153">
        <v>5331</v>
      </c>
      <c r="E13" s="350">
        <v>45437</v>
      </c>
      <c r="F13" s="350">
        <v>45433</v>
      </c>
      <c r="G13" s="351">
        <f t="shared" si="0"/>
        <v>45482</v>
      </c>
      <c r="H13" s="350">
        <v>45520</v>
      </c>
      <c r="I13" s="352">
        <f t="shared" si="1"/>
        <v>38</v>
      </c>
      <c r="J13" s="353">
        <f t="shared" si="2"/>
        <v>91.111111111111114</v>
      </c>
      <c r="K13" s="131" t="s">
        <v>1878</v>
      </c>
      <c r="L13" s="351">
        <v>45743</v>
      </c>
      <c r="M13" s="356">
        <v>45754</v>
      </c>
      <c r="N13" s="356">
        <v>45755</v>
      </c>
      <c r="O13" s="352">
        <f t="shared" si="3"/>
        <v>11</v>
      </c>
      <c r="P13" s="355"/>
      <c r="Q13" s="364"/>
    </row>
    <row r="14" spans="1:17">
      <c r="A14" s="365">
        <v>11</v>
      </c>
      <c r="B14" s="153" t="s">
        <v>1875</v>
      </c>
      <c r="C14" s="153" t="s">
        <v>318</v>
      </c>
      <c r="D14" s="153">
        <v>5329</v>
      </c>
      <c r="E14" s="350">
        <v>45401</v>
      </c>
      <c r="F14" s="350">
        <v>45433</v>
      </c>
      <c r="G14" s="351">
        <f t="shared" si="0"/>
        <v>45482</v>
      </c>
      <c r="H14" s="350">
        <v>45516</v>
      </c>
      <c r="I14" s="352">
        <f t="shared" si="1"/>
        <v>34</v>
      </c>
      <c r="J14" s="353">
        <f t="shared" si="2"/>
        <v>95.555555555555557</v>
      </c>
      <c r="K14" s="131" t="s">
        <v>1878</v>
      </c>
      <c r="L14" s="351">
        <v>45748</v>
      </c>
      <c r="M14" s="356">
        <v>45738</v>
      </c>
      <c r="N14" s="356">
        <v>45741</v>
      </c>
      <c r="O14" s="352">
        <f t="shared" si="3"/>
        <v>-10</v>
      </c>
      <c r="P14" s="355"/>
      <c r="Q14" s="364"/>
    </row>
    <row r="15" spans="1:17">
      <c r="A15" s="365">
        <v>12</v>
      </c>
      <c r="B15" s="153" t="s">
        <v>1875</v>
      </c>
      <c r="C15" s="153" t="s">
        <v>333</v>
      </c>
      <c r="D15" s="153">
        <v>5340</v>
      </c>
      <c r="E15" s="350">
        <v>45437</v>
      </c>
      <c r="F15" s="350">
        <v>45436</v>
      </c>
      <c r="G15" s="351">
        <f t="shared" si="0"/>
        <v>45485</v>
      </c>
      <c r="H15" s="350">
        <v>45592</v>
      </c>
      <c r="I15" s="352">
        <f t="shared" si="1"/>
        <v>107</v>
      </c>
      <c r="J15" s="353">
        <f t="shared" si="2"/>
        <v>14.444444444444443</v>
      </c>
      <c r="K15" s="131" t="s">
        <v>1879</v>
      </c>
      <c r="L15" s="351">
        <v>45750</v>
      </c>
      <c r="M15" s="356">
        <v>45764</v>
      </c>
      <c r="N15" s="356">
        <v>45765</v>
      </c>
      <c r="O15" s="352">
        <f t="shared" si="3"/>
        <v>14</v>
      </c>
      <c r="P15" s="355"/>
      <c r="Q15" s="364"/>
    </row>
    <row r="16" spans="1:17">
      <c r="A16" s="365">
        <v>13</v>
      </c>
      <c r="B16" s="153" t="s">
        <v>1875</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1875</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1875</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1875</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1875</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1875</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1875</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1875</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1875</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1875</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1875</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1875</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1875</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1875</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56"/>
      <c r="B30" s="657"/>
      <c r="C30" s="657"/>
      <c r="D30" s="657"/>
      <c r="E30" s="657"/>
      <c r="F30" s="657"/>
      <c r="G30" s="657"/>
      <c r="H30" s="657"/>
      <c r="I30" s="657"/>
      <c r="J30" s="657"/>
      <c r="K30" s="657"/>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67" t="s">
        <v>2034</v>
      </c>
      <c r="B1" s="667" t="s">
        <v>128</v>
      </c>
      <c r="C1" s="667" t="s">
        <v>2035</v>
      </c>
      <c r="D1" s="667" t="s">
        <v>2036</v>
      </c>
      <c r="E1" s="668" t="s">
        <v>2037</v>
      </c>
      <c r="F1" s="667" t="s">
        <v>2038</v>
      </c>
      <c r="G1" s="667" t="s">
        <v>2039</v>
      </c>
      <c r="H1" s="667" t="s">
        <v>2040</v>
      </c>
      <c r="I1" s="667" t="s">
        <v>2041</v>
      </c>
      <c r="J1" s="565"/>
      <c r="K1" s="667" t="s">
        <v>12</v>
      </c>
    </row>
    <row r="2" spans="1:11" ht="15.5">
      <c r="A2" s="667"/>
      <c r="B2" s="667"/>
      <c r="C2" s="667"/>
      <c r="D2" s="667"/>
      <c r="E2" s="669"/>
      <c r="F2" s="667"/>
      <c r="G2" s="667"/>
      <c r="H2" s="667"/>
      <c r="I2" s="667"/>
      <c r="J2" s="565" t="s">
        <v>2044</v>
      </c>
      <c r="K2" s="667"/>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2042</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2042</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2042</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2043</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2042</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2042</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2042</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2042</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2042</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2043</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2042</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2042</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2042</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2042</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2042</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2042</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2042</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2042</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2042</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2042</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2043</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2042</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2042</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2042</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31</v>
      </c>
      <c r="R17" s="191"/>
      <c r="S17" s="191"/>
      <c r="T17" s="190">
        <f t="shared" si="0"/>
        <v>963.88316796059144</v>
      </c>
      <c r="U17" s="191">
        <f t="shared" si="1"/>
        <v>29880.378206778336</v>
      </c>
      <c r="V17" s="191">
        <f>SUMIF($F$2:F17,F17,$U$2:U17)</f>
        <v>103031.6462398818</v>
      </c>
      <c r="W17" s="192">
        <f t="shared" si="2"/>
        <v>0.57210539408867012</v>
      </c>
      <c r="X17" s="192">
        <f t="shared" si="3"/>
        <v>0.57210539408867012</v>
      </c>
      <c r="Y17" s="192">
        <f t="shared" si="4"/>
        <v>0.50125931296939352</v>
      </c>
      <c r="Z17" s="190">
        <f>IFERROR(AVERAGEIF('Daily KPI'!D:D,Table14[[#This Row],[Month]],'Daily KPI'!AB:AB),"")</f>
        <v>70.200000000000017</v>
      </c>
      <c r="AA17" s="189">
        <f>IFERROR(AVERAGEIF($F$2:F17,F17,$Z$2:Z17),"")</f>
        <v>70.200000000000017</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103031.6462398818</v>
      </c>
      <c r="W18" s="187">
        <f t="shared" si="2"/>
        <v>0.53165349753694591</v>
      </c>
      <c r="X18" s="187" t="str">
        <f t="shared" si="3"/>
        <v/>
      </c>
      <c r="Y18" s="187">
        <f t="shared" si="4"/>
        <v>0.50125931296939352</v>
      </c>
      <c r="Z18" s="185" t="str">
        <f>IFERROR(AVERAGEIF('Daily KPI'!D:D,Table14[[#This Row],[Month]],'Daily KPI'!AB:AB),"")</f>
        <v/>
      </c>
      <c r="AA18" s="184">
        <f>IFERROR(AVERAGEIF($F$2:F18,F18,$Z$2:Z18),"")</f>
        <v>70.200000000000017</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103031.6462398818</v>
      </c>
      <c r="W19" s="192">
        <f t="shared" si="2"/>
        <v>0.31398376847290649</v>
      </c>
      <c r="X19" s="192" t="str">
        <f t="shared" si="3"/>
        <v/>
      </c>
      <c r="Y19" s="192">
        <f t="shared" si="4"/>
        <v>0.50125931296939352</v>
      </c>
      <c r="Z19" s="190" t="str">
        <f>IFERROR(AVERAGEIF('Daily KPI'!D:D,Table14[[#This Row],[Month]],'Daily KPI'!AB:AB),"")</f>
        <v/>
      </c>
      <c r="AA19" s="189">
        <f>IFERROR(AVERAGEIF($F$2:F19,F19,$Z$2:Z19),"")</f>
        <v>70.200000000000017</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103031.6462398818</v>
      </c>
      <c r="W20" s="187">
        <f t="shared" si="2"/>
        <v>0.21574344827586206</v>
      </c>
      <c r="X20" s="187" t="str">
        <f t="shared" si="3"/>
        <v/>
      </c>
      <c r="Y20" s="187">
        <f t="shared" si="4"/>
        <v>0.50125931296939352</v>
      </c>
      <c r="Z20" s="185" t="str">
        <f>IFERROR(AVERAGEIF('Daily KPI'!D:D,Table14[[#This Row],[Month]],'Daily KPI'!AB:AB),"")</f>
        <v/>
      </c>
      <c r="AA20" s="184">
        <f>IFERROR(AVERAGEIF($F$2:F20,F20,$Z$2:Z20),"")</f>
        <v>70.200000000000017</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103031.6462398818</v>
      </c>
      <c r="W21" s="192">
        <f t="shared" si="2"/>
        <v>0.24078509852216753</v>
      </c>
      <c r="X21" s="192" t="str">
        <f t="shared" si="3"/>
        <v/>
      </c>
      <c r="Y21" s="192">
        <f t="shared" si="4"/>
        <v>0.50125931296939352</v>
      </c>
      <c r="Z21" s="190" t="str">
        <f>IFERROR(AVERAGEIF('Daily KPI'!D:D,Table14[[#This Row],[Month]],'Daily KPI'!AB:AB),"")</f>
        <v/>
      </c>
      <c r="AA21" s="189">
        <f>IFERROR(AVERAGEIF($F$2:F21,F21,$Z$2:Z21),"")</f>
        <v>70.200000000000017</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103031.6462398818</v>
      </c>
      <c r="W22" s="187">
        <f t="shared" si="2"/>
        <v>0.34095169950738929</v>
      </c>
      <c r="X22" s="187" t="str">
        <f t="shared" si="3"/>
        <v/>
      </c>
      <c r="Y22" s="187">
        <f t="shared" si="4"/>
        <v>0.50125931296939352</v>
      </c>
      <c r="Z22" s="185" t="str">
        <f>IFERROR(AVERAGEIF('Daily KPI'!D:D,Table14[[#This Row],[Month]],'Daily KPI'!AB:AB),"")</f>
        <v/>
      </c>
      <c r="AA22" s="184">
        <f>IFERROR(AVERAGEIF($F$2:F22,F22,$Z$2:Z22),"")</f>
        <v>70.200000000000017</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103031.6462398818</v>
      </c>
      <c r="W23" s="192">
        <f t="shared" si="2"/>
        <v>0.36406706896551722</v>
      </c>
      <c r="X23" s="192" t="str">
        <f t="shared" si="3"/>
        <v/>
      </c>
      <c r="Y23" s="192">
        <f t="shared" si="4"/>
        <v>0.50125931296939352</v>
      </c>
      <c r="Z23" s="190" t="str">
        <f>IFERROR(AVERAGEIF('Daily KPI'!D:D,Table14[[#This Row],[Month]],'Daily KPI'!AB:AB),"")</f>
        <v/>
      </c>
      <c r="AA23" s="189">
        <f>IFERROR(AVERAGEIF($F$2:F23,F23,$Z$2:Z23),"")</f>
        <v>70.200000000000017</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103031.6462398818</v>
      </c>
      <c r="W24" s="187">
        <f t="shared" si="2"/>
        <v>0.31013120689655177</v>
      </c>
      <c r="X24" s="187" t="str">
        <f t="shared" si="3"/>
        <v/>
      </c>
      <c r="Y24" s="187">
        <f t="shared" si="4"/>
        <v>0.50125931296939352</v>
      </c>
      <c r="Z24" s="185" t="str">
        <f>IFERROR(AVERAGEIF('Daily KPI'!D:D,Table14[[#This Row],[Month]],'Daily KPI'!AB:AB),"")</f>
        <v/>
      </c>
      <c r="AA24" s="184">
        <f>IFERROR(AVERAGEIF($F$2:F24,F24,$Z$2:Z24),"")</f>
        <v>70.200000000000017</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103031.6462398818</v>
      </c>
      <c r="W25" s="192">
        <f t="shared" si="2"/>
        <v>0.3736984729064039</v>
      </c>
      <c r="X25" s="192" t="str">
        <f t="shared" si="3"/>
        <v/>
      </c>
      <c r="Y25" s="192">
        <f t="shared" si="4"/>
        <v>0.50125931296939352</v>
      </c>
      <c r="Z25" s="190" t="str">
        <f>IFERROR(AVERAGEIF('Daily KPI'!D:D,Table14[[#This Row],[Month]],'Daily KPI'!AB:AB),"")</f>
        <v/>
      </c>
      <c r="AA25" s="189">
        <f>IFERROR(AVERAGEIF($F$2:F25,F25,$Z$2:Z25),"")</f>
        <v>70.200000000000017</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70" t="s">
        <v>284</v>
      </c>
      <c r="Q2" s="670"/>
      <c r="R2" s="670"/>
      <c r="U2" t="s">
        <v>1990</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1936</v>
      </c>
      <c r="R7" s="98" t="s">
        <v>1935</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1950</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8EAC07A-AAE7-472C-AF09-16DC83D01E1B}">
  <ds:schemaRefs>
    <ds:schemaRef ds:uri="http://schemas.microsoft.com/DataMashup"/>
  </ds:schemaRefs>
</ds:datastoreItem>
</file>

<file path=customXml/itemProps3.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4.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Akram Rez Najmi</cp:lastModifiedBy>
  <cp:revision/>
  <dcterms:created xsi:type="dcterms:W3CDTF">2015-06-05T18:17:20Z</dcterms:created>
  <dcterms:modified xsi:type="dcterms:W3CDTF">2025-08-01T03:30:44Z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