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akram.najmi\Documents\"/>
    </mc:Choice>
  </mc:AlternateContent>
  <xr:revisionPtr revIDLastSave="0" documentId="13_ncr:1_{23B1DFC0-5D58-4D30-8743-5AA80C7C064B}" xr6:coauthVersionLast="47" xr6:coauthVersionMax="47" xr10:uidLastSave="{00000000-0000-0000-0000-000000000000}"/>
  <bookViews>
    <workbookView xWindow="-110" yWindow="-110" windowWidth="19420" windowHeight="10300"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0"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3" i="1" l="1"/>
  <c r="C123" i="1"/>
  <c r="D123" i="1"/>
  <c r="E123"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W1613" i="18" s="1"/>
  <c r="J1614" i="18"/>
  <c r="W1614" i="18" s="1"/>
  <c r="J1615" i="18"/>
  <c r="W1615" i="18" s="1"/>
  <c r="J1616" i="18"/>
  <c r="W1616" i="18" s="1"/>
  <c r="J1617" i="18"/>
  <c r="W1617" i="18" s="1"/>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W1608" i="18" s="1"/>
  <c r="T1609" i="18"/>
  <c r="W1609" i="18" s="1"/>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W1621" i="18" s="1"/>
  <c r="T1622" i="18"/>
  <c r="AA1622" i="18" s="1"/>
  <c r="T1623" i="18"/>
  <c r="AA1623" i="18" s="1"/>
  <c r="T1624" i="18"/>
  <c r="AA1624" i="18" s="1"/>
  <c r="BF122" i="1"/>
  <c r="BM122" i="1" s="1"/>
  <c r="BG122" i="1"/>
  <c r="BL122" i="1"/>
  <c r="BM123" i="1" l="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X157" i="19"/>
  <c r="X156" i="19"/>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Q157" i="19"/>
  <c r="E155" i="19"/>
  <c r="H155" i="19"/>
  <c r="I155" i="19"/>
  <c r="J155" i="19"/>
  <c r="O155" i="19"/>
  <c r="P155" i="19"/>
  <c r="Q155" i="19"/>
  <c r="X155" i="19" s="1"/>
  <c r="T155" i="19"/>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T154" i="19" s="1"/>
  <c r="O154" i="19"/>
  <c r="P154" i="19"/>
  <c r="Q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7" i="19" l="1"/>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44" i="1" l="1"/>
  <c r="C44" i="1"/>
  <c r="D44" i="1"/>
  <c r="E44" i="1"/>
  <c r="BF44" i="1"/>
  <c r="BM44" i="1" s="1"/>
  <c r="BG44" i="1"/>
  <c r="BL44" i="1"/>
  <c r="BN44" i="1" l="1"/>
  <c r="B43" i="1" l="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5" i="19" l="1"/>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<sst xmlns="http://schemas.openxmlformats.org/spreadsheetml/2006/main" count="17541" uniqueCount="2116">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</sst>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0">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71">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4"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4"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envionwindtechnologypvtltd-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3"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24" totalsRowShown="0" headerRowDxfId="157">
  <autoFilter ref="A1:AD1624"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7" totalsRowShown="0" headerRowDxfId="126" dataDxfId="124" headerRowBorderDxfId="125" headerRowCellStyle="Normal 26 2 2">
  <autoFilter ref="A1:AA157"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zoomScale="70" zoomScaleNormal="70" workbookViewId="0">
      <selection activeCell="K13" sqref="K13"/>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45863</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37">
        <v>1</v>
      </c>
      <c r="B10" s="56" t="s">
        <v>13</v>
      </c>
      <c r="C10" s="57">
        <f>_xlfn.XLOOKUP($B$4,'Daily KPI'!$A:$A,'Daily KPI'!$AD:$AD)/1000</f>
        <v>963.88316796059144</v>
      </c>
      <c r="D10" s="58">
        <f>_xlfn.XLOOKUP($B$4,'Daily KPI'!$A:$A,'Daily KPI'!$AA:$AA)/1000</f>
        <v>378</v>
      </c>
      <c r="E10" s="59">
        <f>D10/C10-1</f>
        <v>-0.60783628912227816</v>
      </c>
      <c r="F10" s="234"/>
    </row>
    <row r="11" spans="1:18">
      <c r="A11" s="638"/>
      <c r="B11" s="60" t="s">
        <v>14</v>
      </c>
      <c r="C11" s="61">
        <f>MonthlyKPI!$E$4</f>
        <v>24097.079199014785</v>
      </c>
      <c r="D11" s="62">
        <f>MonthlyKPI!F4</f>
        <v>14917.5</v>
      </c>
      <c r="E11" s="63">
        <f>D11/C11-1</f>
        <v>-0.38094157068588186</v>
      </c>
      <c r="F11" s="235"/>
    </row>
    <row r="12" spans="1:18" ht="15" thickBot="1">
      <c r="A12" s="639"/>
      <c r="B12" s="64" t="s">
        <v>15</v>
      </c>
      <c r="C12" s="65">
        <f>AnnualKPI!$E$4</f>
        <v>97248.347232118249</v>
      </c>
      <c r="D12" s="66">
        <f>AnnualKPI!F4</f>
        <v>78848.55</v>
      </c>
      <c r="E12" s="67">
        <f>D12/C12-1</f>
        <v>-0.18920421534980425</v>
      </c>
      <c r="F12" s="236"/>
    </row>
    <row r="13" spans="1:18">
      <c r="A13" s="637">
        <v>2</v>
      </c>
      <c r="B13" s="56" t="s">
        <v>16</v>
      </c>
      <c r="C13" s="68">
        <f>_xlfn.XLOOKUP($B$3,'Modelling New'!$D:$D,'Modelling New'!$J:$J)</f>
        <v>8.18</v>
      </c>
      <c r="D13" s="69">
        <f>_xlfn.XLOOKUP($B$4,'Daily KPI'!$A:$A,'Daily KPI'!$M:$M)</f>
        <v>5.3952476678345267</v>
      </c>
      <c r="E13" s="59">
        <f t="shared" ref="E13:E39" si="0">(D13-C13)/(C13)</f>
        <v>-0.34043427043587693</v>
      </c>
      <c r="F13" s="234"/>
    </row>
    <row r="14" spans="1:18">
      <c r="A14" s="638"/>
      <c r="B14" s="60" t="s">
        <v>17</v>
      </c>
      <c r="C14" s="70">
        <f>MonthlyKPI!C4</f>
        <v>8.18</v>
      </c>
      <c r="D14" s="71">
        <f>MonthlyKPI!D4</f>
        <v>6.4833563164767964</v>
      </c>
      <c r="E14" s="63">
        <f t="shared" si="0"/>
        <v>-0.2074136532424454</v>
      </c>
      <c r="F14" s="235"/>
    </row>
    <row r="15" spans="1:18" ht="15" thickBot="1">
      <c r="A15" s="639"/>
      <c r="B15" s="64" t="s">
        <v>18</v>
      </c>
      <c r="C15" s="72">
        <f>AnnualKPI!C4</f>
        <v>7.2925000000000004</v>
      </c>
      <c r="D15" s="73">
        <f>AnnualKPI!D4</f>
        <v>6.7677699825583852</v>
      </c>
      <c r="E15" s="67">
        <f t="shared" si="0"/>
        <v>-7.19547504205163E-2</v>
      </c>
      <c r="F15" s="236"/>
    </row>
    <row r="16" spans="1:18">
      <c r="A16" s="637">
        <v>3</v>
      </c>
      <c r="B16" s="56" t="s">
        <v>19</v>
      </c>
      <c r="C16" s="74">
        <f>_xlfn.XLOOKUP($B$3,'Modelling New'!$D:$D,'Modelling New'!$AE:$AE)</f>
        <v>0.96029999999999993</v>
      </c>
      <c r="D16" s="75">
        <f>_xlfn.XLOOKUP($B$4,'Daily KPI'!$A:$A,'Daily KPI'!$O:$O)</f>
        <v>0.99756556395756035</v>
      </c>
      <c r="E16" s="59">
        <f t="shared" si="0"/>
        <v>3.8806168861356266E-2</v>
      </c>
      <c r="F16" s="234"/>
      <c r="H16" s="100"/>
    </row>
    <row r="17" spans="1:6">
      <c r="A17" s="638"/>
      <c r="B17" s="60" t="s">
        <v>20</v>
      </c>
      <c r="C17" s="76">
        <f>_xlfn.XLOOKUP($B$3,'Modelling New'!$D:$D,'Modelling New'!$AE:$AE)</f>
        <v>0.96029999999999993</v>
      </c>
      <c r="D17" s="77">
        <f>MonthlyKPI!P4</f>
        <v>0.96749529509546994</v>
      </c>
      <c r="E17" s="63">
        <f t="shared" si="0"/>
        <v>7.4927575710403123E-3</v>
      </c>
      <c r="F17" s="235"/>
    </row>
    <row r="18" spans="1:6" ht="15" thickBot="1">
      <c r="A18" s="639"/>
      <c r="B18" s="64" t="s">
        <v>21</v>
      </c>
      <c r="C18" s="78">
        <f>_xlfn.XLOOKUP($B$3,'Modelling New'!$D:$D,'Modelling New'!$AE:$AE)</f>
        <v>0.96029999999999993</v>
      </c>
      <c r="D18" s="79">
        <f>AnnualKPI!P4</f>
        <v>0.94564016543511475</v>
      </c>
      <c r="E18" s="67">
        <f t="shared" si="0"/>
        <v>-1.5265890414334248E-2</v>
      </c>
      <c r="F18" s="236"/>
    </row>
    <row r="19" spans="1:6">
      <c r="A19" s="637">
        <v>4</v>
      </c>
      <c r="B19" s="56" t="s">
        <v>22</v>
      </c>
      <c r="C19" s="74">
        <f>_xlfn.XLOOKUP($B$3,'Modelling New'!$D:$D,'Modelling New'!$AF:$AF)</f>
        <v>0.995</v>
      </c>
      <c r="D19" s="75">
        <f>_xlfn.XLOOKUP($B$4,'Daily KPI'!$A:$A,'Daily KPI'!$R:$R)</f>
        <v>1</v>
      </c>
      <c r="E19" s="59">
        <f t="shared" si="0"/>
        <v>5.0251256281407079E-3</v>
      </c>
      <c r="F19" s="234"/>
    </row>
    <row r="20" spans="1:6">
      <c r="A20" s="638"/>
      <c r="B20" s="60" t="s">
        <v>23</v>
      </c>
      <c r="C20" s="76">
        <f>_xlfn.XLOOKUP($B$3,'Modelling New'!$D:$D,'Modelling New'!$AF:$AF)</f>
        <v>0.995</v>
      </c>
      <c r="D20" s="77">
        <f>MonthlyKPI!J4</f>
        <v>1</v>
      </c>
      <c r="E20" s="63">
        <f t="shared" si="0"/>
        <v>5.0251256281407079E-3</v>
      </c>
      <c r="F20" s="235"/>
    </row>
    <row r="21" spans="1:6" ht="15" thickBot="1">
      <c r="A21" s="639"/>
      <c r="B21" s="64" t="s">
        <v>24</v>
      </c>
      <c r="C21" s="78">
        <f>_xlfn.XLOOKUP($B$3,'Modelling New'!$D:$D,'Modelling New'!$AF:$AF)</f>
        <v>0.995</v>
      </c>
      <c r="D21" s="79">
        <f>AnnualKPI!J4</f>
        <v>1</v>
      </c>
      <c r="E21" s="67">
        <f t="shared" si="0"/>
        <v>5.0251256281407079E-3</v>
      </c>
      <c r="F21" s="236"/>
    </row>
    <row r="22" spans="1:6">
      <c r="A22" s="637">
        <v>5</v>
      </c>
      <c r="B22" s="56" t="s">
        <v>25</v>
      </c>
      <c r="C22" s="74">
        <f>_xlfn.XLOOKUP($B$3,'Modelling New'!$D:$D,'Modelling New'!$AI:$AI)</f>
        <v>0.99</v>
      </c>
      <c r="D22" s="75">
        <f>_xlfn.XLOOKUP($B$4,'Daily KPI'!$A:$A,'Daily KPI'!$Q:$Q)</f>
        <v>1</v>
      </c>
      <c r="E22" s="59">
        <f t="shared" si="0"/>
        <v>1.0101010101010111E-2</v>
      </c>
      <c r="F22" s="234"/>
    </row>
    <row r="23" spans="1:6">
      <c r="A23" s="638"/>
      <c r="B23" s="60" t="s">
        <v>26</v>
      </c>
      <c r="C23" s="76">
        <f>_xlfn.XLOOKUP($B$3,'Modelling New'!$D:$D,'Modelling New'!$AI:$AI)</f>
        <v>0.99</v>
      </c>
      <c r="D23" s="77">
        <f>MonthlyKPI!N4</f>
        <v>0.99585142167124929</v>
      </c>
      <c r="E23" s="63">
        <f t="shared" si="0"/>
        <v>5.9105269406558606E-3</v>
      </c>
      <c r="F23" s="235"/>
    </row>
    <row r="24" spans="1:6" ht="15" thickBot="1">
      <c r="A24" s="639"/>
      <c r="B24" s="64" t="s">
        <v>27</v>
      </c>
      <c r="C24" s="78">
        <f>_xlfn.XLOOKUP($B$3,'Modelling New'!$D:$D,'Modelling New'!$AI:$AI)</f>
        <v>0.99</v>
      </c>
      <c r="D24" s="79">
        <f>AnnualKPI!N4</f>
        <v>0.97442708581932991</v>
      </c>
      <c r="E24" s="67">
        <f t="shared" si="0"/>
        <v>-1.5730216344111196E-2</v>
      </c>
      <c r="F24" s="236"/>
    </row>
    <row r="25" spans="1:6">
      <c r="A25" s="637">
        <v>6</v>
      </c>
      <c r="B25" s="56" t="s">
        <v>28</v>
      </c>
      <c r="C25" s="75">
        <f>_xlfn.XLOOKUP($B$3,'Modelling New'!$D:$D,'Modelling New'!$AH:$AH)</f>
        <v>0.97</v>
      </c>
      <c r="D25" s="75">
        <f>_xlfn.XLOOKUP($B$4,'Daily KPI'!$A:$A,'Daily KPI'!$P:$P)</f>
        <v>0.99756556395756035</v>
      </c>
      <c r="E25" s="59">
        <f t="shared" ref="E25:E27" si="1">(D25-C25)/(C25)</f>
        <v>2.8418107172742658E-2</v>
      </c>
      <c r="F25" s="234"/>
    </row>
    <row r="26" spans="1:6">
      <c r="A26" s="638"/>
      <c r="B26" s="60" t="s">
        <v>29</v>
      </c>
      <c r="C26" s="77">
        <f>_xlfn.XLOOKUP($B$3,'Modelling New'!$D:$D,'Modelling New'!$AH:$AH)</f>
        <v>0.97</v>
      </c>
      <c r="D26" s="77">
        <f>MonthlyKPI!$L$4</f>
        <v>0.97152574575011219</v>
      </c>
      <c r="E26" s="63">
        <f t="shared" si="1"/>
        <v>1.572933763002286E-3</v>
      </c>
      <c r="F26" s="235"/>
    </row>
    <row r="27" spans="1:6" ht="15" thickBot="1">
      <c r="A27" s="639"/>
      <c r="B27" s="64" t="s">
        <v>30</v>
      </c>
      <c r="C27" s="79">
        <f>_xlfn.XLOOKUP($B$3,'Modelling New'!$D:$D,'Modelling New'!$AH:$AH)</f>
        <v>0.97</v>
      </c>
      <c r="D27" s="79">
        <f>AnnualKPI!$L$4</f>
        <v>0.97045759420776956</v>
      </c>
      <c r="E27" s="67">
        <f t="shared" si="1"/>
        <v>4.7174660594802569E-4</v>
      </c>
      <c r="F27" s="236"/>
    </row>
    <row r="28" spans="1:6">
      <c r="A28" s="637">
        <v>7</v>
      </c>
      <c r="B28" s="56" t="s">
        <v>31</v>
      </c>
      <c r="C28" s="74">
        <f>_xlfn.XLOOKUP($B$4,'Daily KPI'!$A:$A,'Daily KPI'!$AF:$AF)</f>
        <v>0.57210539408867012</v>
      </c>
      <c r="D28" s="75">
        <f>_xlfn.XLOOKUP($B$4,'Daily KPI'!$A:$A,'Daily KPI'!$W:$W)</f>
        <v>0.22435897435897434</v>
      </c>
      <c r="E28" s="59">
        <f t="shared" si="0"/>
        <v>-0.60783628912227816</v>
      </c>
      <c r="F28" s="234"/>
    </row>
    <row r="29" spans="1:6">
      <c r="A29" s="638"/>
      <c r="B29" s="60" t="s">
        <v>32</v>
      </c>
      <c r="C29" s="76">
        <f>MonthlyKPI!$G$4</f>
        <v>0.57210539408867001</v>
      </c>
      <c r="D29" s="77">
        <f>MonthlyKPI!H4</f>
        <v>0.35416666666666669</v>
      </c>
      <c r="E29" s="63">
        <f t="shared" si="0"/>
        <v>-0.38094157068588175</v>
      </c>
      <c r="F29" s="235"/>
    </row>
    <row r="30" spans="1:6" ht="15" thickBot="1">
      <c r="A30" s="639"/>
      <c r="B30" s="64" t="s">
        <v>33</v>
      </c>
      <c r="C30" s="78">
        <f>AnnualKPI!$G$4</f>
        <v>0.4975948604977069</v>
      </c>
      <c r="D30" s="79">
        <f>AnnualKPI!H4</f>
        <v>0.4034478153551429</v>
      </c>
      <c r="E30" s="67">
        <f t="shared" si="0"/>
        <v>-0.18920421534980436</v>
      </c>
      <c r="F30" s="236"/>
    </row>
    <row r="31" spans="1:6">
      <c r="A31" s="637">
        <v>8</v>
      </c>
      <c r="B31" s="56" t="s">
        <v>34</v>
      </c>
      <c r="C31" s="210">
        <f>_xlfn.XLOOKUP($B$4,'Daily KPI'!$A:$A,'Daily KPI'!$AP:$AP)</f>
        <v>0.05</v>
      </c>
      <c r="D31" s="211">
        <f>_xlfn.XLOOKUP($B$4,'Daily KPI'!$A:$A,'Daily KPI'!$AN:$AN)</f>
        <v>2.4082947785855915E-2</v>
      </c>
      <c r="E31" s="59">
        <f>-(D31-C31)/(C31)</f>
        <v>0.51834104428288175</v>
      </c>
      <c r="F31" s="237"/>
    </row>
    <row r="32" spans="1:6">
      <c r="A32" s="638"/>
      <c r="B32" s="60" t="s">
        <v>35</v>
      </c>
      <c r="C32" s="212">
        <f>_xlfn.XLOOKUP($B$3,'Modelling New'!$D:$D,'Modelling New'!$AK:$AK)</f>
        <v>0.05</v>
      </c>
      <c r="D32" s="213">
        <f>MonthlyKPI!$U$4</f>
        <v>2.5812435200129314E-2</v>
      </c>
      <c r="E32" s="63">
        <f t="shared" ref="E32:E33" si="2">-(D32-C32)/(C32)</f>
        <v>0.48375129599741373</v>
      </c>
      <c r="F32" s="238"/>
    </row>
    <row r="33" spans="1:7" ht="15" thickBot="1">
      <c r="A33" s="639"/>
      <c r="B33" s="64" t="s">
        <v>36</v>
      </c>
      <c r="C33" s="214">
        <f>_xlfn.XLOOKUP($B$3,'Modelling New'!$D:$D,'Modelling New'!$AK:$AK)</f>
        <v>0.05</v>
      </c>
      <c r="D33" s="215">
        <f>AnnualKPI!$R$4</f>
        <v>3.43142594698315E-2</v>
      </c>
      <c r="E33" s="67">
        <f t="shared" si="2"/>
        <v>0.31371481060337003</v>
      </c>
      <c r="F33" s="239"/>
      <c r="G33" s="209"/>
    </row>
    <row r="34" spans="1:7">
      <c r="A34" s="637">
        <v>9</v>
      </c>
      <c r="B34" s="56" t="s">
        <v>37</v>
      </c>
      <c r="C34" s="74">
        <f>_xlfn.XLOOKUP($B$4,'Daily KPI'!$A:$A,'Daily KPI'!$AQ:$AQ)</f>
        <v>0.05</v>
      </c>
      <c r="D34" s="211">
        <f>_xlfn.XLOOKUP($B$4,'Daily KPI'!$A:$A,'Daily KPI'!$AO:$AO)</f>
        <v>2.3232505783212167E-3</v>
      </c>
      <c r="E34" s="59">
        <f>-(D34-C34)/(C34)</f>
        <v>0.95353498843357565</v>
      </c>
      <c r="F34" s="237"/>
      <c r="G34" s="209"/>
    </row>
    <row r="35" spans="1:7">
      <c r="A35" s="638"/>
      <c r="B35" s="60" t="s">
        <v>38</v>
      </c>
      <c r="C35" s="76">
        <f>_xlfn.XLOOKUP($B$3,'Modelling New'!$D:$D,'Modelling New'!$AL:$AL)</f>
        <v>0.05</v>
      </c>
      <c r="D35" s="217">
        <f>MonthlyKPI!$V$4</f>
        <v>8.9181912260499416E-3</v>
      </c>
      <c r="E35" s="63">
        <f>-(D35-C35)/(C35)</f>
        <v>0.82163617547900114</v>
      </c>
      <c r="F35" s="238"/>
      <c r="G35" s="209"/>
    </row>
    <row r="36" spans="1:7" ht="15" thickBot="1">
      <c r="A36" s="639"/>
      <c r="B36" s="64" t="s">
        <v>39</v>
      </c>
      <c r="C36" s="78">
        <f>_xlfn.XLOOKUP($B$3,'Modelling New'!$D:$D,'Modelling New'!$AL:$AL)</f>
        <v>0.05</v>
      </c>
      <c r="D36" s="215">
        <f>AnnualKPI!$S$4</f>
        <v>7.9531023515452947E-3</v>
      </c>
      <c r="E36" s="67">
        <f>-(D36-C36)/(C36)</f>
        <v>0.84093795296909413</v>
      </c>
      <c r="F36" s="239"/>
      <c r="G36" s="209"/>
    </row>
    <row r="37" spans="1:7">
      <c r="A37" s="637">
        <v>10</v>
      </c>
      <c r="B37" s="56" t="s">
        <v>40</v>
      </c>
      <c r="C37" s="201">
        <f>IFERROR(_xlfn.XLOOKUP($B$4,'Daily KPI'!$A:$A,'Daily KPI'!$AI:$AI),"")</f>
        <v>400.45</v>
      </c>
      <c r="D37" s="202">
        <f>IFERROR(_xlfn.XLOOKUP($B$4,'Daily KPI'!A:A,'Daily KPI'!$X:$X)/1000,"")</f>
        <v>387.32799999999997</v>
      </c>
      <c r="E37" s="59">
        <f t="shared" si="0"/>
        <v>-3.2768135847171968E-2</v>
      </c>
      <c r="F37" s="237"/>
      <c r="G37" s="209"/>
    </row>
    <row r="38" spans="1:7">
      <c r="A38" s="638"/>
      <c r="B38" s="60" t="s">
        <v>41</v>
      </c>
      <c r="C38" s="203">
        <f>MonthlyKPI!$T$4</f>
        <v>16252.760000000004</v>
      </c>
      <c r="D38" s="204">
        <f>IFERROR(SUMIF('Daily KPI'!D:D,$B$3,'Daily KPI'!$X:$X)/1000,"")</f>
        <v>15314.965</v>
      </c>
      <c r="E38" s="63">
        <f t="shared" si="0"/>
        <v>-5.7700661303065046E-2</v>
      </c>
      <c r="F38" s="238"/>
      <c r="G38" s="209"/>
    </row>
    <row r="39" spans="1:7" ht="15" thickBot="1">
      <c r="A39" s="639"/>
      <c r="B39" s="64" t="s">
        <v>42</v>
      </c>
      <c r="C39" s="205">
        <f>AnnualKPI!$Q$4</f>
        <v>85676.964499999987</v>
      </c>
      <c r="D39" s="206">
        <f>IFERROR(SUMIFS('Daily KPI'!$X:$X,'Daily KPI'!$A:$A,"&gt;="&amp;O2Summary!$B$6,'Daily KPI'!$A:$A,"&lt;="&amp;O2Summary!$B$4)/1000,"")</f>
        <v>81454.892000000007</v>
      </c>
      <c r="E39" s="67">
        <f t="shared" si="0"/>
        <v>-4.927896926133489E-2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45863</v>
      </c>
      <c r="C1" s="34">
        <v>0</v>
      </c>
      <c r="D1" s="34">
        <v>0</v>
      </c>
      <c r="E1" s="34">
        <v>0</v>
      </c>
      <c r="F1" s="34">
        <v>0</v>
      </c>
    </row>
    <row r="2" spans="1:22" ht="29.25" customHeight="1">
      <c r="A2" s="640" t="s">
        <v>64</v>
      </c>
      <c r="B2" s="641"/>
      <c r="C2" s="641"/>
      <c r="D2" s="641"/>
      <c r="E2" s="641"/>
      <c r="F2" s="641"/>
      <c r="G2" s="641"/>
      <c r="H2" s="641"/>
      <c r="I2" s="641"/>
      <c r="J2" s="641"/>
      <c r="K2" s="641"/>
      <c r="L2" s="641"/>
      <c r="M2" s="641"/>
      <c r="N2" s="641"/>
      <c r="O2" s="641"/>
      <c r="P2" s="641"/>
      <c r="Q2" s="641"/>
      <c r="R2" s="641"/>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25</v>
      </c>
      <c r="C4" s="117">
        <f>IFERROR(_xlfn.XLOOKUP($A$4,'Modelling New'!$D:$D,'Modelling New'!$AC:$AC),"")</f>
        <v>8.18</v>
      </c>
      <c r="D4" s="118">
        <f>AVERAGEIF('Daily KPI'!$D:$D,$A$4,'Daily KPI'!$M:$M)</f>
        <v>6.4833563164767964</v>
      </c>
      <c r="E4" s="116">
        <f>IFERROR(_xlfn.XLOOKUP($A$4,'Modelling New'!$D:$D,'Modelling New'!$U:$U),"")</f>
        <v>24097.079199014785</v>
      </c>
      <c r="F4" s="119">
        <f>SUMIFS('Daily KPI'!$AA:$AA,'Daily KPI'!$D:$D,$A$4)/1000</f>
        <v>14917.5</v>
      </c>
      <c r="G4" s="120">
        <f>IFERROR(_xlfn.XLOOKUP($A$4,'Modelling New'!$D:$D,'Modelling New'!$X:$X),"")</f>
        <v>0.57210539408867001</v>
      </c>
      <c r="H4" s="121">
        <f>F4/(24*B4*(_xlfn.XLOOKUP($B$1,'Daily KPI'!$A:$A,'Daily KPI'!$AR:$AR)))</f>
        <v>0.35416666666666669</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0.97152574575011219</v>
      </c>
      <c r="M4" s="120">
        <f>_xlfn.XLOOKUP($A$4,'Modelling New'!$D:$D,'Modelling New'!$AI:$AI)</f>
        <v>0.99</v>
      </c>
      <c r="N4" s="121">
        <f>AVERAGEIFS('Daily KPI'!$Q:$Q,'Daily KPI'!$A:$A,"&lt;="&amp;MonthlyKPI!$B$1,'Daily KPI'!$D:$D,$A$4)</f>
        <v>0.99585142167124929</v>
      </c>
      <c r="O4" s="120">
        <f>K4*M4</f>
        <v>0.96029999999999993</v>
      </c>
      <c r="P4" s="122">
        <f>L4*N4</f>
        <v>0.96749529509546994</v>
      </c>
      <c r="Q4" s="116">
        <f>SUMIFS('Daily KPI'!$X:$X,'Daily KPI'!$D:$D,$A$4)/1000</f>
        <v>15314.965</v>
      </c>
      <c r="R4" s="122">
        <f>Q4/F4-1</f>
        <v>2.6644209820680498E-2</v>
      </c>
      <c r="S4" s="116">
        <f>SUMIFS(Input_Raw!BQ:BQ,Input_Raw!A:A,"&gt;="&amp;A4,Input_Raw!A:A,"&lt;="&amp;B1)</f>
        <v>16252.760000000004</v>
      </c>
      <c r="T4" s="119">
        <f>SUMIFS('Daily KPI'!$AI:$AI,'Daily KPI'!$D:$D,$A$4)</f>
        <v>16252.760000000004</v>
      </c>
      <c r="U4" s="200">
        <f>IFERROR(AVERAGEIFS('Daily KPI'!$AN:$AN,'Daily KPI'!$D:$D,MonthlyKPI!$A$4,'Daily KPI'!$A:$A,"&lt;="&amp;MonthlyKPI!$B$1),"")</f>
        <v>2.5812435200129314E-2</v>
      </c>
      <c r="V4" s="199">
        <f>AVERAGEIFS('Daily KPI'!$AO:$AO,'Daily KPI'!$A:$A,"&lt;="&amp;MonthlyKPI!$B$1,'Daily KPI'!$D:$D,$A$4)</f>
        <v>8.9181912260499416E-3</v>
      </c>
    </row>
    <row r="6" spans="1:22" ht="29.25" customHeight="1">
      <c r="Q6" s="2"/>
    </row>
    <row r="7" spans="1:22" ht="29.25" customHeight="1">
      <c r="A7" s="32" t="s">
        <v>69</v>
      </c>
      <c r="B7" s="33">
        <f>B8-6</f>
        <v>45857</v>
      </c>
      <c r="D7" s="36"/>
      <c r="F7" s="36"/>
    </row>
    <row r="8" spans="1:22" ht="29.25" customHeight="1">
      <c r="A8" s="32" t="s">
        <v>70</v>
      </c>
      <c r="B8" s="33">
        <f>B1</f>
        <v>45863</v>
      </c>
    </row>
    <row r="9" spans="1:22" ht="29.25" customHeight="1">
      <c r="A9" s="640" t="s">
        <v>71</v>
      </c>
      <c r="B9" s="641"/>
      <c r="C9" s="641"/>
      <c r="D9" s="641"/>
      <c r="E9" s="641"/>
      <c r="F9" s="641"/>
      <c r="G9" s="641"/>
      <c r="H9" s="641"/>
      <c r="I9" s="641"/>
      <c r="J9" s="641"/>
      <c r="K9" s="641"/>
      <c r="L9" s="641"/>
      <c r="M9" s="641"/>
      <c r="N9" s="641"/>
      <c r="O9" s="641"/>
      <c r="P9" s="641"/>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6.0817272570308392</v>
      </c>
      <c r="E11" s="116">
        <f>SUMIFS('Daily KPI'!$AD:$AD,'Daily KPI'!$A:$A,"&gt;="&amp;$B$7,'Daily KPI'!$A:$A,"&lt;="&amp;$B$8)/1000</f>
        <v>6747.1821757241405</v>
      </c>
      <c r="F11" s="119">
        <f>SUMIFS('Daily KPI'!$AA:$AA,'Daily KPI'!$A:$A,"&gt;="&amp;$B$7,'Daily KPI'!$A:$A,"&lt;="&amp;$B$8)/1000</f>
        <v>3712.05</v>
      </c>
      <c r="G11" s="120">
        <f>E11/(24*$B$11*'Basic Data'!$K$3)</f>
        <v>0.57210539408866989</v>
      </c>
      <c r="H11" s="121">
        <f>F11/(24*B11*'Basic Data'!$K$3)</f>
        <v>0.31475122100122088</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0.9891273341475938</v>
      </c>
      <c r="M11" s="120">
        <f>_xlfn.XLOOKUP($A$4,'Modelling New'!$D:$D,'Modelling New'!$AI:$AI)</f>
        <v>0.99</v>
      </c>
      <c r="N11" s="121">
        <f>AVERAGEIFS('Daily KPI'!$Q:$Q,'Daily KPI'!$A:$A,"&gt;="&amp;$B$7,'Daily KPI'!$A:$A,"&lt;="&amp;$B$8)</f>
        <v>0.99821961758240418</v>
      </c>
      <c r="O11" s="120">
        <f>K11*M11</f>
        <v>0.96029999999999993</v>
      </c>
      <c r="P11" s="122">
        <f>L11*N11</f>
        <v>0.98736630923311397</v>
      </c>
      <c r="Q11" s="116">
        <f>SUMIFS(Input_Raw!BQ:BQ,Input_Raw!A:A,"&gt;="&amp;B7,Input_Raw!A:A,"&lt;="&amp;B8)</f>
        <v>3961.6499999999996</v>
      </c>
    </row>
    <row r="14" spans="1:22" ht="29.25" customHeight="1">
      <c r="A14" s="32" t="s">
        <v>69</v>
      </c>
      <c r="B14" s="33">
        <f>B15-29</f>
        <v>45834</v>
      </c>
      <c r="D14" s="36"/>
      <c r="F14" s="36"/>
    </row>
    <row r="15" spans="1:22" ht="29.25" customHeight="1">
      <c r="A15" s="32" t="s">
        <v>70</v>
      </c>
      <c r="B15" s="33">
        <f>B8</f>
        <v>45863</v>
      </c>
    </row>
    <row r="16" spans="1:22" ht="29.25" customHeight="1">
      <c r="A16" s="640" t="s">
        <v>72</v>
      </c>
      <c r="B16" s="641"/>
      <c r="C16" s="641"/>
      <c r="D16" s="641"/>
      <c r="E16" s="641"/>
      <c r="F16" s="641"/>
      <c r="G16" s="641"/>
      <c r="H16" s="641"/>
      <c r="I16" s="641"/>
      <c r="J16" s="641"/>
      <c r="K16" s="641"/>
      <c r="L16" s="641"/>
      <c r="M16" s="641"/>
      <c r="N16" s="641"/>
      <c r="O16" s="641"/>
      <c r="P16" s="641"/>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6.7412568467076088</v>
      </c>
      <c r="E18" s="116">
        <f>SUMIFS('Daily KPI'!$AD:$AD,'Daily KPI'!$A:$A,"&gt;="&amp;$B$14,'Daily KPI'!$A:$A,"&lt;="&amp;$B$15)/1000</f>
        <v>28105.145570837449</v>
      </c>
      <c r="F18" s="119">
        <f>SUMIFS('Daily KPI'!$X:$X,'Daily KPI'!$A:$A,"&gt;="&amp;$B$14,'Daily KPI'!$A:$A,"&lt;="&amp;$B$15)/1000</f>
        <v>20436.73</v>
      </c>
      <c r="G18" s="120">
        <f>E18/(24*$B$18*'Basic Data'!$K$3)</f>
        <v>0.55605305418719209</v>
      </c>
      <c r="H18" s="121">
        <f>F18/(24*B18*'Basic Data'!$K$3)</f>
        <v>0.40433543051598586</v>
      </c>
      <c r="I18" s="120">
        <v>0.997</v>
      </c>
      <c r="J18" s="121">
        <f>AVERAGEIFS('Daily KPI'!$R:$R,'Daily KPI'!$A:$A,"&gt;="&amp;$B$14,'Daily KPI'!$A:$A,"&lt;="&amp;$B$15)</f>
        <v>1</v>
      </c>
      <c r="K18" s="120">
        <v>0.98599999999999999</v>
      </c>
      <c r="L18" s="121">
        <f>AVERAGEIFS('Daily KPI'!$P:$P,'Daily KPI'!$A:$A,"&gt;="&amp;$B$14,'Daily KPI'!$A:$A,"&lt;="&amp;$B$15)</f>
        <v>0.9675983228780195</v>
      </c>
      <c r="M18" s="120">
        <v>0.995</v>
      </c>
      <c r="N18" s="121">
        <f>AVERAGEIFS('Daily KPI'!$Q:$Q,'Daily KPI'!$A:$A,"&gt;="&amp;$B$14,'Daily KPI'!$A:$A,"&lt;="&amp;$B$15)</f>
        <v>0.99654285139270771</v>
      </c>
      <c r="O18" s="120">
        <f>K18*M18</f>
        <v>0.98107</v>
      </c>
      <c r="P18" s="122">
        <f>L18*N18</f>
        <v>0.96425319168366341</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I109" sqref="I109"/>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t="str">
        <f>IFERROR(_xlfn.XLOOKUP($A121,Input_Raw!$A:$A,Input_Raw!BG:BG),"")</f>
        <v/>
      </c>
      <c r="N121" s="170" t="str">
        <f>IFERROR(_xlfn.XLOOKUP($A121,Input_Raw!$A:$A,Input_Raw!BH:BH),"")</f>
        <v/>
      </c>
      <c r="O121" s="173" t="str">
        <f t="shared" si="9"/>
        <v/>
      </c>
      <c r="P121" s="173" t="str">
        <f>IFERROR(1-SUMIF(WTG_BD!$F:$F,$A121,WTG_BD!$AA:$AA)/($AA121+SUMIF(WTG_BD!$F:$F,$A121,WTG_BD!$AA:$AA)),"")</f>
        <v/>
      </c>
      <c r="Q121" s="173" t="str">
        <f>IFERROR(1-SUMIF(IGA_BD!$F:$F,$A121,IGA_BD!$X:$X)/($AA121+SUMIF(IGA_BD!$F:$F,$A121,IGA_BD!$X:$X)),"")</f>
        <v/>
      </c>
      <c r="R121" s="173" t="str">
        <f>IFERROR(1-SUMIF(Grid_BD!$F:$F,$A121,Grid_BD!$Y:$Y)/($AA121+SUMIF(Grid_BD!$F:$F,$A121,Grid_BD!$Y:$Y)),"")</f>
        <v/>
      </c>
      <c r="S121" s="167"/>
      <c r="T121" s="172"/>
      <c r="U121" s="173"/>
      <c r="V121" s="167"/>
      <c r="W121" s="174" t="str">
        <f t="shared" si="10"/>
        <v/>
      </c>
      <c r="X121" s="167" t="str">
        <f>IFERROR(_xlfn.XLOOKUP($A121,Input_Raw!$A:$A,Input_Raw!$BF:$BF),"")</f>
        <v/>
      </c>
      <c r="Y121" s="167" t="str">
        <f>IFERROR(_xlfn.XLOOKUP($A121,Input_Raw!$A:$A,Input_Raw!BJ:BJ),"")</f>
        <v/>
      </c>
      <c r="Z121" s="167" t="str">
        <f>IFERROR(_xlfn.XLOOKUP($A121,Input_Raw!$A:$A,Input_Raw!BK:BK),"")</f>
        <v/>
      </c>
      <c r="AA121" s="167" t="str">
        <f>IFERROR(_xlfn.XLOOKUP($A121,Input_Raw!$A:$A,Input_Raw!BL:BL),"")</f>
        <v/>
      </c>
      <c r="AB121" s="167" t="str">
        <f>IFERROR(_xlfn.XLOOKUP($A121,Input_Raw!$A:$A,Input_Raw!$BO:$BO),"")</f>
        <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t="str">
        <f>IFERROR(_xlfn.XLOOKUP($A121,Input_Raw!$A:$A,Input_Raw!$BQ:$BQ),"")</f>
        <v/>
      </c>
      <c r="AJ121" s="167"/>
      <c r="AK121" s="167"/>
      <c r="AL121" s="167"/>
      <c r="AM121" s="167"/>
      <c r="AN121" s="175" t="str">
        <f>IFERROR(_xlfn.XLOOKUP($A121,Input_Raw!$A:$A,Input_Raw!$BN:$BN),"")</f>
        <v/>
      </c>
      <c r="AO121" s="174" t="str">
        <f>IFERROR((_xlfn.XLOOKUP($A121,'WTG Reactive Power'!$A:$A,'WTG Reactive Power'!$AE:$AE))/Table13[[#This Row],[Gen_Exp (kWh)]],"")</f>
        <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t="str">
        <f>IFERROR(_xlfn.XLOOKUP($A122,Input_Raw!$A:$A,Input_Raw!BG:BG),"")</f>
        <v/>
      </c>
      <c r="N122" s="170" t="str">
        <f>IFERROR(_xlfn.XLOOKUP($A122,Input_Raw!$A:$A,Input_Raw!BH:BH),"")</f>
        <v/>
      </c>
      <c r="O122" s="173" t="str">
        <f t="shared" si="9"/>
        <v/>
      </c>
      <c r="P122" s="173" t="str">
        <f>IFERROR(1-SUMIF(WTG_BD!$F:$F,$A122,WTG_BD!$AA:$AA)/($AA122+SUMIF(WTG_BD!$F:$F,$A122,WTG_BD!$AA:$AA)),"")</f>
        <v/>
      </c>
      <c r="Q122" s="173" t="str">
        <f>IFERROR(1-SUMIF(IGA_BD!$F:$F,$A122,IGA_BD!$X:$X)/($AA122+SUMIF(IGA_BD!$F:$F,$A122,IGA_BD!$X:$X)),"")</f>
        <v/>
      </c>
      <c r="R122" s="173" t="str">
        <f>IFERROR(1-SUMIF(Grid_BD!$F:$F,$A122,Grid_BD!$Y:$Y)/($AA122+SUMIF(Grid_BD!$F:$F,$A122,Grid_BD!$Y:$Y)),"")</f>
        <v/>
      </c>
      <c r="S122" s="167"/>
      <c r="T122" s="172"/>
      <c r="U122" s="173"/>
      <c r="V122" s="167"/>
      <c r="W122" s="174" t="str">
        <f t="shared" si="10"/>
        <v/>
      </c>
      <c r="X122" s="167" t="str">
        <f>IFERROR(_xlfn.XLOOKUP($A122,Input_Raw!$A:$A,Input_Raw!$BF:$BF),"")</f>
        <v/>
      </c>
      <c r="Y122" s="167" t="str">
        <f>IFERROR(_xlfn.XLOOKUP($A122,Input_Raw!$A:$A,Input_Raw!BJ:BJ),"")</f>
        <v/>
      </c>
      <c r="Z122" s="167" t="str">
        <f>IFERROR(_xlfn.XLOOKUP($A122,Input_Raw!$A:$A,Input_Raw!BK:BK),"")</f>
        <v/>
      </c>
      <c r="AA122" s="167" t="str">
        <f>IFERROR(_xlfn.XLOOKUP($A122,Input_Raw!$A:$A,Input_Raw!BL:BL),"")</f>
        <v/>
      </c>
      <c r="AB122" s="167" t="str">
        <f>IFERROR(_xlfn.XLOOKUP($A122,Input_Raw!$A:$A,Input_Raw!$BO:$BO),"")</f>
        <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t="str">
        <f>IFERROR(_xlfn.XLOOKUP($A122,Input_Raw!$A:$A,Input_Raw!$BQ:$BQ),"")</f>
        <v/>
      </c>
      <c r="AJ122" s="167"/>
      <c r="AK122" s="167"/>
      <c r="AL122" s="167"/>
      <c r="AM122" s="167"/>
      <c r="AN122" s="175" t="str">
        <f>IFERROR(_xlfn.XLOOKUP($A122,Input_Raw!$A:$A,Input_Raw!$BN:$BN),"")</f>
        <v/>
      </c>
      <c r="AO122" s="174" t="str">
        <f>IFERROR((_xlfn.XLOOKUP($A122,'WTG Reactive Power'!$A:$A,'WTG Reactive Power'!$AE:$AE))/Table13[[#This Row],[Gen_Exp (kWh)]],"")</f>
        <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t="str">
        <f>IFERROR(_xlfn.XLOOKUP($A123,Input_Raw!$A:$A,Input_Raw!BG:BG),"")</f>
        <v/>
      </c>
      <c r="N123" s="170" t="str">
        <f>IFERROR(_xlfn.XLOOKUP($A123,Input_Raw!$A:$A,Input_Raw!BH:BH),"")</f>
        <v/>
      </c>
      <c r="O123" s="173" t="str">
        <f t="shared" si="9"/>
        <v/>
      </c>
      <c r="P123" s="173" t="str">
        <f>IFERROR(1-SUMIF(WTG_BD!$F:$F,$A123,WTG_BD!$AA:$AA)/($AA123+SUMIF(WTG_BD!$F:$F,$A123,WTG_BD!$AA:$AA)),"")</f>
        <v/>
      </c>
      <c r="Q123" s="173" t="str">
        <f>IFERROR(1-SUMIF(IGA_BD!$F:$F,$A123,IGA_BD!$X:$X)/($AA123+SUMIF(IGA_BD!$F:$F,$A123,IGA_BD!$X:$X)),"")</f>
        <v/>
      </c>
      <c r="R123" s="173" t="str">
        <f>IFERROR(1-SUMIF(Grid_BD!$F:$F,$A123,Grid_BD!$Y:$Y)/($AA123+SUMIF(Grid_BD!$F:$F,$A123,Grid_BD!$Y:$Y)),"")</f>
        <v/>
      </c>
      <c r="S123" s="167"/>
      <c r="T123" s="172"/>
      <c r="U123" s="173"/>
      <c r="V123" s="167"/>
      <c r="W123" s="174" t="str">
        <f t="shared" si="10"/>
        <v/>
      </c>
      <c r="X123" s="167" t="str">
        <f>IFERROR(_xlfn.XLOOKUP($A123,Input_Raw!$A:$A,Input_Raw!$BF:$BF),"")</f>
        <v/>
      </c>
      <c r="Y123" s="167" t="str">
        <f>IFERROR(_xlfn.XLOOKUP($A123,Input_Raw!$A:$A,Input_Raw!BJ:BJ),"")</f>
        <v/>
      </c>
      <c r="Z123" s="167" t="str">
        <f>IFERROR(_xlfn.XLOOKUP($A123,Input_Raw!$A:$A,Input_Raw!BK:BK),"")</f>
        <v/>
      </c>
      <c r="AA123" s="167" t="str">
        <f>IFERROR(_xlfn.XLOOKUP($A123,Input_Raw!$A:$A,Input_Raw!BL:BL),"")</f>
        <v/>
      </c>
      <c r="AB123" s="167" t="str">
        <f>IFERROR(_xlfn.XLOOKUP($A123,Input_Raw!$A:$A,Input_Raw!$BO:$BO),"")</f>
        <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t="str">
        <f>IFERROR(_xlfn.XLOOKUP($A123,Input_Raw!$A:$A,Input_Raw!$BQ:$BQ),"")</f>
        <v/>
      </c>
      <c r="AJ123" s="167"/>
      <c r="AK123" s="167"/>
      <c r="AL123" s="167"/>
      <c r="AM123" s="167"/>
      <c r="AN123" s="175" t="str">
        <f>IFERROR(_xlfn.XLOOKUP($A123,Input_Raw!$A:$A,Input_Raw!$BN:$BN),"")</f>
        <v/>
      </c>
      <c r="AO123" s="174" t="str">
        <f>IFERROR((_xlfn.XLOOKUP($A123,'WTG Reactive Power'!$A:$A,'WTG Reactive Power'!$AE:$AE))/Table13[[#This Row],[Gen_Exp (kWh)]],"")</f>
        <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45863</v>
      </c>
      <c r="C1" s="115">
        <f>O2Summary!$B$3</f>
        <v>45839</v>
      </c>
    </row>
    <row r="2" spans="1:19" ht="21">
      <c r="A2" s="640" t="s">
        <v>44</v>
      </c>
      <c r="B2" s="641"/>
      <c r="C2" s="641"/>
      <c r="D2" s="641"/>
      <c r="E2" s="641"/>
      <c r="F2" s="641"/>
      <c r="G2" s="641"/>
      <c r="H2" s="641"/>
      <c r="I2" s="641"/>
      <c r="J2" s="641"/>
      <c r="K2" s="641"/>
      <c r="L2" s="641"/>
      <c r="M2" s="641"/>
      <c r="N2" s="641"/>
      <c r="O2" s="641"/>
      <c r="P2" s="641"/>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116</v>
      </c>
      <c r="C4" s="117">
        <f>_xlfn.XLOOKUP($C$1,'Modelling New'!$D:$D,'Modelling New'!$AD:$AD)</f>
        <v>7.2925000000000004</v>
      </c>
      <c r="D4" s="118">
        <f>AVERAGEIFS('Daily KPI'!$M:$M,'Daily KPI'!$A:$A,"&gt;="&amp;O2Summary!$B$6,'Daily KPI'!$A:$A,"&lt;="&amp;AnnualKPI!$B$1)</f>
        <v>6.7677699825583852</v>
      </c>
      <c r="E4" s="116">
        <f>_xlfn.XLOOKUP($C$1,'Modelling New'!$D:$D,'Modelling New'!$V:$V)</f>
        <v>97248.347232118249</v>
      </c>
      <c r="F4" s="119">
        <f>SUMIFS('Daily KPI'!$AA:$AA,'Daily KPI'!$A:$A,"&gt;="&amp;O2Summary!$B$6,'Daily KPI'!$A:$A,"&lt;="&amp;AnnualKPI!$B$1)/1000</f>
        <v>78848.55</v>
      </c>
      <c r="G4" s="120">
        <f>_xlfn.XLOOKUP($C$1,'Modelling New'!$D:$D,'Modelling New'!$Y:$Y)</f>
        <v>0.4975948604977069</v>
      </c>
      <c r="H4" s="121">
        <f>IFERROR(F4/(B4*24*(_xlfn.XLOOKUP($B$1,'Daily KPI'!$A:$A,'Daily KPI'!$AR:$AR))),"")</f>
        <v>0.4034478153551429</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0.97045759420776956</v>
      </c>
      <c r="M4" s="120">
        <f>_xlfn.XLOOKUP($C$1,'Modelling New'!$D:$D,'Modelling New'!$AI:$AI)</f>
        <v>0.99</v>
      </c>
      <c r="N4" s="122">
        <f>AVERAGEIFS('Daily KPI'!$Q:$Q,'Daily KPI'!$A:$A,"&gt;="&amp;O2Summary!$B$6,'Daily KPI'!$A:$A,"&lt;="&amp;AnnualKPI!$B$1)</f>
        <v>0.97442708581932991</v>
      </c>
      <c r="O4" s="120">
        <f>K4*M4</f>
        <v>0.96029999999999993</v>
      </c>
      <c r="P4" s="122">
        <f>L4*N4</f>
        <v>0.94564016543511475</v>
      </c>
      <c r="Q4" s="119">
        <f>SUMIFS('Daily KPI'!$AI:$AI,'Daily KPI'!$D:$D,"&gt;="&amp;O2Summary!$B$6,'Daily KPI'!$A:$A,"&lt;="&amp;AnnualKPI!$B$1)</f>
        <v>85676.964499999987</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45839</v>
      </c>
    </row>
    <row r="3" spans="1:27" ht="29.25" customHeight="1">
      <c r="A3" s="82" t="s">
        <v>70</v>
      </c>
      <c r="B3" s="83">
        <f>O2Summary!B4</f>
        <v>45863</v>
      </c>
      <c r="C3">
        <f>((B3-B2)+1)*24</f>
        <v>600</v>
      </c>
      <c r="D3" s="81">
        <f>MEDIAN(B21:AA21)</f>
        <v>6.4</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0.99961111111111112</v>
      </c>
      <c r="C5" s="155">
        <f>IFERROR(($C$3-C6)/$C$3,1)</f>
        <v>0.99961111111111112</v>
      </c>
      <c r="D5" s="155">
        <f t="shared" ref="D5:AA5" si="0">IFERROR(($C$3-D6)/$C$3,1)</f>
        <v>0.99961111111111112</v>
      </c>
      <c r="E5" s="155">
        <f t="shared" si="0"/>
        <v>0.99961111111111112</v>
      </c>
      <c r="F5" s="155">
        <f t="shared" si="0"/>
        <v>0.99961111111111112</v>
      </c>
      <c r="G5" s="155">
        <f t="shared" si="0"/>
        <v>0.99961111111111112</v>
      </c>
      <c r="H5" s="155">
        <f t="shared" si="0"/>
        <v>0.99961111111111112</v>
      </c>
      <c r="I5" s="155">
        <f t="shared" si="0"/>
        <v>0.99961111111111112</v>
      </c>
      <c r="J5" s="155">
        <f t="shared" si="0"/>
        <v>0.99961111111111112</v>
      </c>
      <c r="K5" s="155">
        <f t="shared" si="0"/>
        <v>0.99961111111111112</v>
      </c>
      <c r="L5" s="155">
        <f t="shared" si="0"/>
        <v>0.99961111111111112</v>
      </c>
      <c r="M5" s="155">
        <f t="shared" si="0"/>
        <v>0.99961111111111112</v>
      </c>
      <c r="N5" s="155">
        <f t="shared" si="0"/>
        <v>0.99961111111111112</v>
      </c>
      <c r="O5" s="155">
        <f t="shared" si="0"/>
        <v>0.99961111111111112</v>
      </c>
      <c r="P5" s="155">
        <f t="shared" si="0"/>
        <v>0.99961111111111112</v>
      </c>
      <c r="Q5" s="155">
        <f t="shared" si="0"/>
        <v>0.99961111111111112</v>
      </c>
      <c r="R5" s="155">
        <f t="shared" si="0"/>
        <v>0.99961111111111112</v>
      </c>
      <c r="S5" s="155">
        <f t="shared" si="0"/>
        <v>0.99961111111111112</v>
      </c>
      <c r="T5" s="155">
        <f t="shared" si="0"/>
        <v>0.99961111111111112</v>
      </c>
      <c r="U5" s="155">
        <f t="shared" si="0"/>
        <v>0.99961111111111112</v>
      </c>
      <c r="V5" s="155">
        <f t="shared" si="0"/>
        <v>0.99961111111111112</v>
      </c>
      <c r="W5" s="155">
        <f t="shared" si="0"/>
        <v>0.99961111111111112</v>
      </c>
      <c r="X5" s="155">
        <f t="shared" si="0"/>
        <v>0.99961111111111112</v>
      </c>
      <c r="Y5" s="155">
        <f t="shared" si="0"/>
        <v>0.99961111111111112</v>
      </c>
      <c r="Z5" s="155">
        <f t="shared" si="0"/>
        <v>0.99961111111111112</v>
      </c>
      <c r="AA5" s="155">
        <f t="shared" si="0"/>
        <v>0.99961111111111112</v>
      </c>
    </row>
    <row r="6" spans="1:27" ht="29.25" hidden="1" customHeight="1">
      <c r="A6" s="129" t="s">
        <v>101</v>
      </c>
      <c r="B6" s="154">
        <f>SUMIFS(WTG_BD!$T:$T,WTG_BD!$F:$F,"&gt;="&amp;Analytices!$B$2,WTG_BD!$F:$F,"&lt;="&amp;Analytices!$B$3,WTG_BD!$G:$G,$B$4)</f>
        <v>0.2333333333333325</v>
      </c>
      <c r="C6" s="154">
        <f>SUMIFS(WTG_BD!$T:$T,WTG_BD!$F:$F,"&gt;="&amp;Analytices!$B$2,WTG_BD!$F:$F,"&lt;="&amp;Analytices!$B$3,WTG_BD!$G:$G,$B$4)</f>
        <v>0.2333333333333325</v>
      </c>
      <c r="D6" s="154">
        <f>SUMIFS(WTG_BD!$T:$T,WTG_BD!$F:$F,"&gt;="&amp;Analytices!$B$2,WTG_BD!$F:$F,"&lt;="&amp;Analytices!$B$3,WTG_BD!$G:$G,$B$4)</f>
        <v>0.2333333333333325</v>
      </c>
      <c r="E6" s="154">
        <f>SUMIFS(WTG_BD!$T:$T,WTG_BD!$F:$F,"&gt;="&amp;Analytices!$B$2,WTG_BD!$F:$F,"&lt;="&amp;Analytices!$B$3,WTG_BD!$G:$G,$B$4)</f>
        <v>0.2333333333333325</v>
      </c>
      <c r="F6" s="154">
        <f>SUMIFS(WTG_BD!$T:$T,WTG_BD!$F:$F,"&gt;="&amp;Analytices!$B$2,WTG_BD!$F:$F,"&lt;="&amp;Analytices!$B$3,WTG_BD!$G:$G,$B$4)</f>
        <v>0.2333333333333325</v>
      </c>
      <c r="G6" s="154">
        <f>SUMIFS(WTG_BD!$T:$T,WTG_BD!$F:$F,"&gt;="&amp;Analytices!$B$2,WTG_BD!$F:$F,"&lt;="&amp;Analytices!$B$3,WTG_BD!$G:$G,$B$4)</f>
        <v>0.2333333333333325</v>
      </c>
      <c r="H6" s="154">
        <f>SUMIFS(WTG_BD!$T:$T,WTG_BD!$F:$F,"&gt;="&amp;Analytices!$B$2,WTG_BD!$F:$F,"&lt;="&amp;Analytices!$B$3,WTG_BD!$G:$G,$B$4)</f>
        <v>0.2333333333333325</v>
      </c>
      <c r="I6" s="154">
        <f>SUMIFS(WTG_BD!$T:$T,WTG_BD!$F:$F,"&gt;="&amp;Analytices!$B$2,WTG_BD!$F:$F,"&lt;="&amp;Analytices!$B$3,WTG_BD!$G:$G,$B$4)</f>
        <v>0.2333333333333325</v>
      </c>
      <c r="J6" s="154">
        <f>SUMIFS(WTG_BD!$T:$T,WTG_BD!$F:$F,"&gt;="&amp;Analytices!$B$2,WTG_BD!$F:$F,"&lt;="&amp;Analytices!$B$3,WTG_BD!$G:$G,$B$4)</f>
        <v>0.2333333333333325</v>
      </c>
      <c r="K6" s="154">
        <f>SUMIFS(WTG_BD!$T:$T,WTG_BD!$F:$F,"&gt;="&amp;Analytices!$B$2,WTG_BD!$F:$F,"&lt;="&amp;Analytices!$B$3,WTG_BD!$G:$G,$B$4)</f>
        <v>0.2333333333333325</v>
      </c>
      <c r="L6" s="154">
        <f>SUMIFS(WTG_BD!$T:$T,WTG_BD!$F:$F,"&gt;="&amp;Analytices!$B$2,WTG_BD!$F:$F,"&lt;="&amp;Analytices!$B$3,WTG_BD!$G:$G,$B$4)</f>
        <v>0.2333333333333325</v>
      </c>
      <c r="M6" s="154">
        <f>SUMIFS(WTG_BD!$T:$T,WTG_BD!$F:$F,"&gt;="&amp;Analytices!$B$2,WTG_BD!$F:$F,"&lt;="&amp;Analytices!$B$3,WTG_BD!$G:$G,$B$4)</f>
        <v>0.2333333333333325</v>
      </c>
      <c r="N6" s="154">
        <f>SUMIFS(WTG_BD!$T:$T,WTG_BD!$F:$F,"&gt;="&amp;Analytices!$B$2,WTG_BD!$F:$F,"&lt;="&amp;Analytices!$B$3,WTG_BD!$G:$G,$B$4)</f>
        <v>0.2333333333333325</v>
      </c>
      <c r="O6" s="154">
        <f>SUMIFS(WTG_BD!$T:$T,WTG_BD!$F:$F,"&gt;="&amp;Analytices!$B$2,WTG_BD!$F:$F,"&lt;="&amp;Analytices!$B$3,WTG_BD!$G:$G,$B$4)</f>
        <v>0.2333333333333325</v>
      </c>
      <c r="P6" s="154">
        <f>SUMIFS(WTG_BD!$T:$T,WTG_BD!$F:$F,"&gt;="&amp;Analytices!$B$2,WTG_BD!$F:$F,"&lt;="&amp;Analytices!$B$3,WTG_BD!$G:$G,$B$4)</f>
        <v>0.2333333333333325</v>
      </c>
      <c r="Q6" s="154">
        <f>SUMIFS(WTG_BD!$T:$T,WTG_BD!$F:$F,"&gt;="&amp;Analytices!$B$2,WTG_BD!$F:$F,"&lt;="&amp;Analytices!$B$3,WTG_BD!$G:$G,$B$4)</f>
        <v>0.2333333333333325</v>
      </c>
      <c r="R6" s="154">
        <f>SUMIFS(WTG_BD!$T:$T,WTG_BD!$F:$F,"&gt;="&amp;Analytices!$B$2,WTG_BD!$F:$F,"&lt;="&amp;Analytices!$B$3,WTG_BD!$G:$G,$B$4)</f>
        <v>0.2333333333333325</v>
      </c>
      <c r="S6" s="154">
        <f>SUMIFS(WTG_BD!$T:$T,WTG_BD!$F:$F,"&gt;="&amp;Analytices!$B$2,WTG_BD!$F:$F,"&lt;="&amp;Analytices!$B$3,WTG_BD!$G:$G,$B$4)</f>
        <v>0.2333333333333325</v>
      </c>
      <c r="T6" s="154">
        <f>SUMIFS(WTG_BD!$T:$T,WTG_BD!$F:$F,"&gt;="&amp;Analytices!$B$2,WTG_BD!$F:$F,"&lt;="&amp;Analytices!$B$3,WTG_BD!$G:$G,$B$4)</f>
        <v>0.2333333333333325</v>
      </c>
      <c r="U6" s="154">
        <f>SUMIFS(WTG_BD!$T:$T,WTG_BD!$F:$F,"&gt;="&amp;Analytices!$B$2,WTG_BD!$F:$F,"&lt;="&amp;Analytices!$B$3,WTG_BD!$G:$G,$B$4)</f>
        <v>0.2333333333333325</v>
      </c>
      <c r="V6" s="154">
        <f>SUMIFS(WTG_BD!$T:$T,WTG_BD!$F:$F,"&gt;="&amp;Analytices!$B$2,WTG_BD!$F:$F,"&lt;="&amp;Analytices!$B$3,WTG_BD!$G:$G,$B$4)</f>
        <v>0.2333333333333325</v>
      </c>
      <c r="W6" s="154">
        <f>SUMIFS(WTG_BD!$T:$T,WTG_BD!$F:$F,"&gt;="&amp;Analytices!$B$2,WTG_BD!$F:$F,"&lt;="&amp;Analytices!$B$3,WTG_BD!$G:$G,$B$4)</f>
        <v>0.2333333333333325</v>
      </c>
      <c r="X6" s="154">
        <f>SUMIFS(WTG_BD!$T:$T,WTG_BD!$F:$F,"&gt;="&amp;Analytices!$B$2,WTG_BD!$F:$F,"&lt;="&amp;Analytices!$B$3,WTG_BD!$G:$G,$B$4)</f>
        <v>0.2333333333333325</v>
      </c>
      <c r="Y6" s="154">
        <f>SUMIFS(WTG_BD!$T:$T,WTG_BD!$F:$F,"&gt;="&amp;Analytices!$B$2,WTG_BD!$F:$F,"&lt;="&amp;Analytices!$B$3,WTG_BD!$G:$G,$B$4)</f>
        <v>0.2333333333333325</v>
      </c>
      <c r="Z6" s="154">
        <f>SUMIFS(WTG_BD!$T:$T,WTG_BD!$F:$F,"&gt;="&amp;Analytices!$B$2,WTG_BD!$F:$F,"&lt;="&amp;Analytices!$B$3,WTG_BD!$G:$G,$B$4)</f>
        <v>0.2333333333333325</v>
      </c>
      <c r="AA6" s="154">
        <f>SUMIFS(WTG_BD!$T:$T,WTG_BD!$F:$F,"&gt;="&amp;Analytices!$B$2,WTG_BD!$F:$F,"&lt;="&amp;Analytices!$B$3,WTG_BD!$G:$G,$B$4)</f>
        <v>0.2333333333333325</v>
      </c>
    </row>
    <row r="7" spans="1:27" ht="29.25" customHeight="1">
      <c r="A7" s="127" t="s">
        <v>102</v>
      </c>
      <c r="B7" s="156">
        <f>($C$3-SUM(B8:B12))/$C$3</f>
        <v>0.99580555555555561</v>
      </c>
      <c r="C7" s="156">
        <f t="shared" ref="C7:AA7" si="1">($C$3-SUM(C8:C12))/$C$3</f>
        <v>0.99580555555555561</v>
      </c>
      <c r="D7" s="156">
        <f t="shared" si="1"/>
        <v>0.99580555555555561</v>
      </c>
      <c r="E7" s="156">
        <f t="shared" si="1"/>
        <v>0.99875000000000003</v>
      </c>
      <c r="F7" s="156">
        <f t="shared" si="1"/>
        <v>0.99580555555555561</v>
      </c>
      <c r="G7" s="156">
        <f t="shared" si="1"/>
        <v>0.99875000000000003</v>
      </c>
      <c r="H7" s="156">
        <f t="shared" si="1"/>
        <v>0.99875000000000003</v>
      </c>
      <c r="I7" s="156">
        <f t="shared" si="1"/>
        <v>0.99875000000000003</v>
      </c>
      <c r="J7" s="156">
        <f t="shared" si="1"/>
        <v>0.99580555555555561</v>
      </c>
      <c r="K7" s="156">
        <f t="shared" si="1"/>
        <v>0.99580555555555561</v>
      </c>
      <c r="L7" s="156">
        <f t="shared" si="1"/>
        <v>0.99580555555555561</v>
      </c>
      <c r="M7" s="156">
        <f t="shared" si="1"/>
        <v>0.99580555555555561</v>
      </c>
      <c r="N7" s="156">
        <f t="shared" si="1"/>
        <v>0.99580555555555561</v>
      </c>
      <c r="O7" s="156">
        <f t="shared" si="1"/>
        <v>0.99580555555555561</v>
      </c>
      <c r="P7" s="156">
        <f t="shared" si="1"/>
        <v>0.99580555555555561</v>
      </c>
      <c r="Q7" s="156">
        <f t="shared" si="1"/>
        <v>0.99580555555555561</v>
      </c>
      <c r="R7" s="156">
        <f t="shared" si="1"/>
        <v>0.99875000000000003</v>
      </c>
      <c r="S7" s="156">
        <f t="shared" si="1"/>
        <v>0.99875000000000003</v>
      </c>
      <c r="T7" s="156">
        <f t="shared" si="1"/>
        <v>0.99875000000000003</v>
      </c>
      <c r="U7" s="156">
        <f t="shared" si="1"/>
        <v>0.99580555555555561</v>
      </c>
      <c r="V7" s="156">
        <f t="shared" si="1"/>
        <v>0.99875000000000003</v>
      </c>
      <c r="W7" s="156">
        <f t="shared" si="1"/>
        <v>0.99875000000000003</v>
      </c>
      <c r="X7" s="156">
        <f t="shared" si="1"/>
        <v>0.99875000000000003</v>
      </c>
      <c r="Y7" s="156">
        <f t="shared" si="1"/>
        <v>0.99875000000000003</v>
      </c>
      <c r="Z7" s="156">
        <f t="shared" si="1"/>
        <v>0.99875000000000003</v>
      </c>
      <c r="AA7" s="156">
        <f t="shared" si="1"/>
        <v>0.99875000000000003</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565529</v>
      </c>
      <c r="C15" s="153">
        <f>SUMIFS(Input_Raw!G:G,Input_Raw!$A:$A,"&gt;="&amp;Analytices!$B$2,Input_Raw!$A:$A,"&lt;="&amp;Analytices!$B$3)</f>
        <v>614633</v>
      </c>
      <c r="D15" s="153">
        <f>SUMIFS(Input_Raw!H:H,Input_Raw!$A:$A,"&gt;="&amp;Analytices!$B$2,Input_Raw!$A:$A,"&lt;="&amp;Analytices!$B$3)</f>
        <v>572659</v>
      </c>
      <c r="E15" s="153">
        <f>SUMIFS(Input_Raw!I:I,Input_Raw!$A:$A,"&gt;="&amp;Analytices!$B$2,Input_Raw!$A:$A,"&lt;="&amp;Analytices!$B$3)</f>
        <v>590646</v>
      </c>
      <c r="F15" s="153">
        <f>SUMIFS(Input_Raw!J:J,Input_Raw!$A:$A,"&gt;="&amp;Analytices!$B$2,Input_Raw!$A:$A,"&lt;="&amp;Analytices!$B$3)</f>
        <v>606339</v>
      </c>
      <c r="G15" s="153">
        <f>SUMIFS(Input_Raw!K:K,Input_Raw!$A:$A,"&gt;="&amp;Analytices!$B$2,Input_Raw!$A:$A,"&lt;="&amp;Analytices!$B$3)</f>
        <v>639241</v>
      </c>
      <c r="H15" s="153">
        <f>SUMIFS(Input_Raw!L:L,Input_Raw!$A:$A,"&gt;="&amp;Analytices!$B$2,Input_Raw!$A:$A,"&lt;="&amp;Analytices!$B$3)</f>
        <v>574336</v>
      </c>
      <c r="I15" s="153">
        <f>SUMIFS(Input_Raw!M:M,Input_Raw!$A:$A,"&gt;="&amp;Analytices!$B$2,Input_Raw!$A:$A,"&lt;="&amp;Analytices!$B$3)</f>
        <v>595779</v>
      </c>
      <c r="J15" s="153">
        <f>SUMIFS(Input_Raw!N:N,Input_Raw!$A:$A,"&gt;="&amp;Analytices!$B$2,Input_Raw!$A:$A,"&lt;="&amp;Analytices!$B$3)</f>
        <v>575420</v>
      </c>
      <c r="K15" s="153">
        <f>SUMIFS(Input_Raw!O:O,Input_Raw!$A:$A,"&gt;="&amp;Analytices!$B$2,Input_Raw!$A:$A,"&lt;="&amp;Analytices!$B$3)</f>
        <v>594629</v>
      </c>
      <c r="L15" s="153">
        <f>SUMIFS(Input_Raw!P:P,Input_Raw!$A:$A,"&gt;="&amp;Analytices!$B$2,Input_Raw!$A:$A,"&lt;="&amp;Analytices!$B$3)</f>
        <v>565645</v>
      </c>
      <c r="M15" s="153">
        <f>SUMIFS(Input_Raw!Q:Q,Input_Raw!$A:$A,"&gt;="&amp;Analytices!$B$2,Input_Raw!$A:$A,"&lt;="&amp;Analytices!$B$3)</f>
        <v>381360</v>
      </c>
      <c r="N15" s="153">
        <f>SUMIFS(Input_Raw!R:R,Input_Raw!$A:$A,"&gt;="&amp;Analytices!$B$2,Input_Raw!$A:$A,"&lt;="&amp;Analytices!$B$3)</f>
        <v>574475</v>
      </c>
      <c r="O15" s="153">
        <f>SUMIFS(Input_Raw!S:S,Input_Raw!$A:$A,"&gt;="&amp;Analytices!$B$2,Input_Raw!$A:$A,"&lt;="&amp;Analytices!$B$3)</f>
        <v>589257</v>
      </c>
      <c r="P15" s="153">
        <f>SUMIFS(Input_Raw!T:T,Input_Raw!$A:$A,"&gt;="&amp;Analytices!$B$2,Input_Raw!$A:$A,"&lt;="&amp;Analytices!$B$3)</f>
        <v>570758</v>
      </c>
      <c r="Q15" s="153">
        <f>SUMIFS(Input_Raw!U:U,Input_Raw!$A:$A,"&gt;="&amp;Analytices!$B$2,Input_Raw!$A:$A,"&lt;="&amp;Analytices!$B$3)</f>
        <v>606601</v>
      </c>
      <c r="R15" s="153">
        <f>SUMIFS(Input_Raw!V:V,Input_Raw!$A:$A,"&gt;="&amp;Analytices!$B$2,Input_Raw!$A:$A,"&lt;="&amp;Analytices!$B$3)</f>
        <v>670755</v>
      </c>
      <c r="S15" s="153">
        <f>SUMIFS(Input_Raw!W:W,Input_Raw!$A:$A,"&gt;="&amp;Analytices!$B$2,Input_Raw!$A:$A,"&lt;="&amp;Analytices!$B$3)</f>
        <v>617627</v>
      </c>
      <c r="T15" s="153">
        <f>SUMIFS(Input_Raw!X:X,Input_Raw!$A:$A,"&gt;="&amp;Analytices!$B$2,Input_Raw!$A:$A,"&lt;="&amp;Analytices!$B$3)</f>
        <v>660628</v>
      </c>
      <c r="U15" s="153">
        <f>SUMIFS(Input_Raw!Y:Y,Input_Raw!$A:$A,"&gt;="&amp;Analytices!$B$2,Input_Raw!$A:$A,"&lt;="&amp;Analytices!$B$3)</f>
        <v>442788</v>
      </c>
      <c r="V15" s="153">
        <f>SUMIFS(Input_Raw!Z:Z,Input_Raw!$A:$A,"&gt;="&amp;Analytices!$B$2,Input_Raw!$A:$A,"&lt;="&amp;Analytices!$B$3)</f>
        <v>635410</v>
      </c>
      <c r="W15" s="153">
        <f>SUMIFS(Input_Raw!AA:AA,Input_Raw!$A:$A,"&gt;="&amp;Analytices!$B$2,Input_Raw!$A:$A,"&lt;="&amp;Analytices!$B$3)</f>
        <v>617387</v>
      </c>
      <c r="X15" s="153">
        <f>SUMIFS(Input_Raw!AB:AB,Input_Raw!$A:$A,"&gt;="&amp;Analytices!$B$2,Input_Raw!$A:$A,"&lt;="&amp;Analytices!$B$3)</f>
        <v>586224</v>
      </c>
      <c r="Y15" s="153">
        <f>SUMIFS(Input_Raw!AC:AC,Input_Raw!$A:$A,"&gt;="&amp;Analytices!$B$2,Input_Raw!$A:$A,"&lt;="&amp;Analytices!$B$3)</f>
        <v>632360</v>
      </c>
      <c r="Z15" s="153">
        <f>SUMIFS(Input_Raw!AD:AD,Input_Raw!$A:$A,"&gt;="&amp;Analytices!$B$2,Input_Raw!$A:$A,"&lt;="&amp;Analytices!$B$3)</f>
        <v>644517</v>
      </c>
      <c r="AA15" s="153">
        <f>SUMIFS(Input_Raw!AE:AE,Input_Raw!$A:$A,"&gt;="&amp;Analytices!$B$2,Input_Raw!$A:$A,"&lt;="&amp;Analytices!$B$3)</f>
        <v>589962</v>
      </c>
    </row>
    <row r="16" spans="1:27" ht="29.25" customHeight="1">
      <c r="A16" s="127" t="s">
        <v>111</v>
      </c>
      <c r="B16" s="155">
        <f>IFERROR(($C$3-(SUM(B8:B12,B14,B6)))/$C$3,1)</f>
        <v>0.99541666666666662</v>
      </c>
      <c r="C16" s="155">
        <f t="shared" ref="C16:AA16" si="4">IFERROR(($C$3-(SUM(C8:C12,C14,C6)))/$C$3,1)</f>
        <v>0.99541666666666662</v>
      </c>
      <c r="D16" s="155">
        <f t="shared" si="4"/>
        <v>0.99541666666666662</v>
      </c>
      <c r="E16" s="155">
        <f t="shared" si="4"/>
        <v>0.99836111111111103</v>
      </c>
      <c r="F16" s="155">
        <f t="shared" si="4"/>
        <v>0.99541666666666662</v>
      </c>
      <c r="G16" s="155">
        <f t="shared" si="4"/>
        <v>0.99836111111111103</v>
      </c>
      <c r="H16" s="155">
        <f t="shared" si="4"/>
        <v>0.99836111111111103</v>
      </c>
      <c r="I16" s="155">
        <f t="shared" si="4"/>
        <v>0.99836111111111103</v>
      </c>
      <c r="J16" s="155">
        <f t="shared" si="4"/>
        <v>0.99541666666666662</v>
      </c>
      <c r="K16" s="155">
        <f t="shared" si="4"/>
        <v>0.99541666666666662</v>
      </c>
      <c r="L16" s="155">
        <f t="shared" si="4"/>
        <v>0.99541666666666662</v>
      </c>
      <c r="M16" s="155">
        <f t="shared" si="4"/>
        <v>0.99541666666666662</v>
      </c>
      <c r="N16" s="155">
        <f t="shared" si="4"/>
        <v>0.99541666666666662</v>
      </c>
      <c r="O16" s="155">
        <f t="shared" si="4"/>
        <v>0.99541666666666662</v>
      </c>
      <c r="P16" s="155">
        <f t="shared" si="4"/>
        <v>0.99541666666666662</v>
      </c>
      <c r="Q16" s="155">
        <f t="shared" si="4"/>
        <v>0.99541666666666662</v>
      </c>
      <c r="R16" s="155">
        <f t="shared" si="4"/>
        <v>0.99836111111111103</v>
      </c>
      <c r="S16" s="155">
        <f t="shared" si="4"/>
        <v>0.99836111111111103</v>
      </c>
      <c r="T16" s="155">
        <f t="shared" si="4"/>
        <v>0.99836111111111103</v>
      </c>
      <c r="U16" s="155">
        <f t="shared" si="4"/>
        <v>0.99541666666666662</v>
      </c>
      <c r="V16" s="155">
        <f t="shared" si="4"/>
        <v>0.99836111111111103</v>
      </c>
      <c r="W16" s="155">
        <f t="shared" si="4"/>
        <v>0.99836111111111103</v>
      </c>
      <c r="X16" s="155">
        <f t="shared" si="4"/>
        <v>0.99836111111111103</v>
      </c>
      <c r="Y16" s="155">
        <f t="shared" si="4"/>
        <v>0.99836111111111103</v>
      </c>
      <c r="Z16" s="155">
        <f t="shared" si="4"/>
        <v>0.99836111111111103</v>
      </c>
      <c r="AA16" s="155">
        <f t="shared" si="4"/>
        <v>0.99836111111111103</v>
      </c>
    </row>
    <row r="17" spans="1:27" ht="29.25" hidden="1" customHeight="1">
      <c r="A17" s="129" t="s">
        <v>112</v>
      </c>
      <c r="B17" s="154">
        <f>SUMIFS(WTG_BD!$T:$T,WTG_BD!$F:$F,"&gt;="&amp;Analytices!$B$2,WTG_BD!$F:$F,"&lt;="&amp;Analytices!$B$3,WTG_BD!$G:$G,B4)</f>
        <v>0.2333333333333325</v>
      </c>
      <c r="C17" s="154">
        <f>SUMIFS(WTG_BD!$T:$T,WTG_BD!$F:$F,"&gt;="&amp;Analytices!$B$2,WTG_BD!$F:$F,"&lt;="&amp;Analytices!$B$3,WTG_BD!$G:$G,C4)</f>
        <v>14.25</v>
      </c>
      <c r="D17" s="154">
        <f>SUMIFS(WTG_BD!$T:$T,WTG_BD!$F:$F,"&gt;="&amp;Analytices!$B$2,WTG_BD!$F:$F,"&lt;="&amp;Analytices!$B$3,WTG_BD!$G:$G,D4)</f>
        <v>15.233333333333331</v>
      </c>
      <c r="E17" s="154">
        <f>SUMIFS(WTG_BD!$T:$T,WTG_BD!$F:$F,"&gt;="&amp;Analytices!$B$2,WTG_BD!$F:$F,"&lt;="&amp;Analytices!$B$3,WTG_BD!$G:$G,E4)</f>
        <v>6.3500000000000023</v>
      </c>
      <c r="F17" s="154">
        <f>SUMIFS(WTG_BD!$T:$T,WTG_BD!$F:$F,"&gt;="&amp;Analytices!$B$2,WTG_BD!$F:$F,"&lt;="&amp;Analytices!$B$3,WTG_BD!$G:$G,F4)</f>
        <v>3.2999999999999963</v>
      </c>
      <c r="G17" s="154">
        <f>SUMIFS(WTG_BD!$T:$T,WTG_BD!$F:$F,"&gt;="&amp;Analytices!$B$2,WTG_BD!$F:$F,"&lt;="&amp;Analytices!$B$3,WTG_BD!$G:$G,G4)</f>
        <v>10.25</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2.8500000000000005</v>
      </c>
      <c r="K17" s="154">
        <f>SUMIFS(WTG_BD!$T:$T,WTG_BD!$F:$F,"&gt;="&amp;Analytices!$B$2,WTG_BD!$F:$F,"&lt;="&amp;Analytices!$B$3,WTG_BD!$G:$G,K4)</f>
        <v>0.79999999999999849</v>
      </c>
      <c r="L17" s="154">
        <f>SUMIFS(WTG_BD!$T:$T,WTG_BD!$F:$F,"&gt;="&amp;Analytices!$B$2,WTG_BD!$F:$F,"&lt;="&amp;Analytices!$B$3,WTG_BD!$G:$G,L4)</f>
        <v>10.46666666666667</v>
      </c>
      <c r="M17" s="154">
        <f>SUMIFS(WTG_BD!$T:$T,WTG_BD!$F:$F,"&gt;="&amp;Analytices!$B$2,WTG_BD!$F:$F,"&lt;="&amp;Analytices!$B$3,WTG_BD!$G:$G,M4)</f>
        <v>168.19861111111109</v>
      </c>
      <c r="N17" s="154">
        <f>SUMIFS(WTG_BD!$T:$T,WTG_BD!$F:$F,"&gt;="&amp;Analytices!$B$2,WTG_BD!$F:$F,"&lt;="&amp;Analytices!$B$3,WTG_BD!$G:$G,N4)</f>
        <v>3.3166666666666682</v>
      </c>
      <c r="O17" s="154">
        <f>SUMIFS(WTG_BD!$T:$T,WTG_BD!$F:$F,"&gt;="&amp;Analytices!$B$2,WTG_BD!$F:$F,"&lt;="&amp;Analytices!$B$3,WTG_BD!$G:$G,O4)</f>
        <v>1.966666666666669</v>
      </c>
      <c r="P17" s="154">
        <f>SUMIFS(WTG_BD!$T:$T,WTG_BD!$F:$F,"&gt;="&amp;Analytices!$B$2,WTG_BD!$F:$F,"&lt;="&amp;Analytices!$B$3,WTG_BD!$G:$G,P4)</f>
        <v>8.299722222222222</v>
      </c>
      <c r="Q17" s="154">
        <f>SUMIFS(WTG_BD!$T:$T,WTG_BD!$F:$F,"&gt;="&amp;Analytices!$B$2,WTG_BD!$F:$F,"&lt;="&amp;Analytices!$B$3,WTG_BD!$G:$G,Q4)</f>
        <v>3.5166666666666688</v>
      </c>
      <c r="R17" s="154">
        <f>SUMIFS(WTG_BD!$T:$T,WTG_BD!$F:$F,"&gt;="&amp;Analytices!$B$2,WTG_BD!$F:$F,"&lt;="&amp;Analytices!$B$3,WTG_BD!$G:$G,R4)</f>
        <v>4.1833333333333327</v>
      </c>
      <c r="S17" s="154">
        <f>SUMIFS(WTG_BD!$T:$T,WTG_BD!$F:$F,"&gt;="&amp;Analytices!$B$2,WTG_BD!$F:$F,"&lt;="&amp;Analytices!$B$3,WTG_BD!$G:$G,S4)</f>
        <v>22.04999999999999</v>
      </c>
      <c r="T17" s="154">
        <f>SUMIFS(WTG_BD!$T:$T,WTG_BD!$F:$F,"&gt;="&amp;Analytices!$B$2,WTG_BD!$F:$F,"&lt;="&amp;Analytices!$B$3,WTG_BD!$G:$G,T4)</f>
        <v>1.7333333333333325</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6.6000000000000041</v>
      </c>
      <c r="X17" s="154">
        <f>SUMIFS(WTG_BD!$T:$T,WTG_BD!$F:$F,"&gt;="&amp;Analytices!$B$2,WTG_BD!$F:$F,"&lt;="&amp;Analytices!$B$3,WTG_BD!$G:$G,X4)</f>
        <v>4.9166666666666679</v>
      </c>
      <c r="Y17" s="154">
        <f>SUMIFS(WTG_BD!$T:$T,WTG_BD!$F:$F,"&gt;="&amp;Analytices!$B$2,WTG_BD!$F:$F,"&lt;="&amp;Analytices!$B$3,WTG_BD!$G:$G,Y4)</f>
        <v>0.70000000000000151</v>
      </c>
      <c r="Z17" s="154">
        <f>SUMIFS(WTG_BD!$T:$T,WTG_BD!$F:$F,"&gt;="&amp;Analytices!$B$2,WTG_BD!$F:$F,"&lt;="&amp;Analytices!$B$3,WTG_BD!$G:$G,Z4)</f>
        <v>3.3333333333333215E-2</v>
      </c>
      <c r="AA17" s="154">
        <f>SUMIFS(WTG_BD!$T:$T,WTG_BD!$F:$F,"&gt;="&amp;Analytices!$B$2,WTG_BD!$F:$F,"&lt;="&amp;Analytices!$B$3,WTG_BD!$G:$G,AA4)</f>
        <v>4.7666666666666684</v>
      </c>
    </row>
    <row r="18" spans="1:27" ht="29.25" hidden="1" customHeight="1">
      <c r="A18" s="129" t="s">
        <v>113</v>
      </c>
      <c r="B18" s="154">
        <f>COUNTIFS(WTG_BD!$F:$F,"&gt;="&amp;Analytices!$B$2,WTG_BD!$F:$F,"&lt;="&amp;Analytices!$B$3,WTG_BD!$G:$G,B4)</f>
        <v>4</v>
      </c>
      <c r="C18" s="154">
        <f>COUNTIFS(WTG_BD!$F:$F,"&gt;="&amp;Analytices!$B$2,WTG_BD!$F:$F,"&lt;="&amp;Analytices!$B$3,WTG_BD!$G:$G,C4)</f>
        <v>11</v>
      </c>
      <c r="D18" s="154">
        <f>COUNTIFS(WTG_BD!$F:$F,"&gt;="&amp;Analytices!$B$2,WTG_BD!$F:$F,"&lt;="&amp;Analytices!$B$3,WTG_BD!$G:$G,D4)</f>
        <v>5</v>
      </c>
      <c r="E18" s="154">
        <f>COUNTIFS(WTG_BD!$F:$F,"&gt;="&amp;Analytices!$B$2,WTG_BD!$F:$F,"&lt;="&amp;Analytices!$B$3,WTG_BD!$G:$G,E4)</f>
        <v>10</v>
      </c>
      <c r="F18" s="154">
        <f>COUNTIFS(WTG_BD!$F:$F,"&gt;="&amp;Analytices!$B$2,WTG_BD!$F:$F,"&lt;="&amp;Analytices!$B$3,WTG_BD!$G:$G,F4)</f>
        <v>14</v>
      </c>
      <c r="G18" s="154">
        <f>COUNTIFS(WTG_BD!$F:$F,"&gt;="&amp;Analytices!$B$2,WTG_BD!$F:$F,"&lt;="&amp;Analytices!$B$3,WTG_BD!$G:$G,G4)</f>
        <v>6</v>
      </c>
      <c r="H18" s="154">
        <f>COUNTIFS(WTG_BD!$F:$F,"&gt;="&amp;Analytices!$B$2,WTG_BD!$F:$F,"&lt;="&amp;Analytices!$B$3,WTG_BD!$G:$G,H4)</f>
        <v>6</v>
      </c>
      <c r="I18" s="154">
        <f>COUNTIFS(WTG_BD!$F:$F,"&gt;="&amp;Analytices!$B$2,WTG_BD!$F:$F,"&lt;="&amp;Analytices!$B$3,WTG_BD!$G:$G,I4)</f>
        <v>3</v>
      </c>
      <c r="J18" s="154">
        <f>COUNTIFS(WTG_BD!$F:$F,"&gt;="&amp;Analytices!$B$2,WTG_BD!$F:$F,"&lt;="&amp;Analytices!$B$3,WTG_BD!$G:$G,J4)</f>
        <v>4</v>
      </c>
      <c r="K18" s="154">
        <f>COUNTIFS(WTG_BD!$F:$F,"&gt;="&amp;Analytices!$B$2,WTG_BD!$F:$F,"&lt;="&amp;Analytices!$B$3,WTG_BD!$G:$G,K4)</f>
        <v>6</v>
      </c>
      <c r="L18" s="154">
        <f>COUNTIFS(WTG_BD!$F:$F,"&gt;="&amp;Analytices!$B$2,WTG_BD!$F:$F,"&lt;="&amp;Analytices!$B$3,WTG_BD!$G:$G,L4)</f>
        <v>4</v>
      </c>
      <c r="M18" s="154">
        <f>COUNTIFS(WTG_BD!$F:$F,"&gt;="&amp;Analytices!$B$2,WTG_BD!$F:$F,"&lt;="&amp;Analytices!$B$3,WTG_BD!$G:$G,M4)</f>
        <v>46</v>
      </c>
      <c r="N18" s="154">
        <f>COUNTIFS(WTG_BD!$F:$F,"&gt;="&amp;Analytices!$B$2,WTG_BD!$F:$F,"&lt;="&amp;Analytices!$B$3,WTG_BD!$G:$G,N4)</f>
        <v>3</v>
      </c>
      <c r="O18" s="154">
        <f>COUNTIFS(WTG_BD!$F:$F,"&gt;="&amp;Analytices!$B$2,WTG_BD!$F:$F,"&lt;="&amp;Analytices!$B$3,WTG_BD!$G:$G,O4)</f>
        <v>9</v>
      </c>
      <c r="P18" s="154">
        <f>COUNTIFS(WTG_BD!$F:$F,"&gt;="&amp;Analytices!$B$2,WTG_BD!$F:$F,"&lt;="&amp;Analytices!$B$3,WTG_BD!$G:$G,P4)</f>
        <v>8</v>
      </c>
      <c r="Q18" s="154">
        <f>COUNTIFS(WTG_BD!$F:$F,"&gt;="&amp;Analytices!$B$2,WTG_BD!$F:$F,"&lt;="&amp;Analytices!$B$3,WTG_BD!$G:$G,Q4)</f>
        <v>5</v>
      </c>
      <c r="R18" s="154">
        <f>COUNTIFS(WTG_BD!$F:$F,"&gt;="&amp;Analytices!$B$2,WTG_BD!$F:$F,"&lt;="&amp;Analytices!$B$3,WTG_BD!$G:$G,R4)</f>
        <v>3</v>
      </c>
      <c r="S18" s="154">
        <f>COUNTIFS(WTG_BD!$F:$F,"&gt;="&amp;Analytices!$B$2,WTG_BD!$F:$F,"&lt;="&amp;Analytices!$B$3,WTG_BD!$G:$G,S4)</f>
        <v>7</v>
      </c>
      <c r="T18" s="154">
        <f>COUNTIFS(WTG_BD!$F:$F,"&gt;="&amp;Analytices!$B$2,WTG_BD!$F:$F,"&lt;="&amp;Analytices!$B$3,WTG_BD!$G:$G,T4)</f>
        <v>1</v>
      </c>
      <c r="U18" s="154">
        <f>COUNTIFS(WTG_BD!$F:$F,"&gt;="&amp;Analytices!$B$2,WTG_BD!$F:$F,"&lt;="&amp;Analytices!$B$3,WTG_BD!$G:$G,U4)</f>
        <v>12</v>
      </c>
      <c r="V18" s="154">
        <f>COUNTIFS(WTG_BD!$F:$F,"&gt;="&amp;Analytices!$B$2,WTG_BD!$F:$F,"&lt;="&amp;Analytices!$B$3,WTG_BD!$G:$G,V4)</f>
        <v>4</v>
      </c>
      <c r="W18" s="154">
        <f>COUNTIFS(WTG_BD!$F:$F,"&gt;="&amp;Analytices!$B$2,WTG_BD!$F:$F,"&lt;="&amp;Analytices!$B$3,WTG_BD!$G:$G,W4)</f>
        <v>7</v>
      </c>
      <c r="X18" s="154">
        <f>COUNTIFS(WTG_BD!$F:$F,"&gt;="&amp;Analytices!$B$2,WTG_BD!$F:$F,"&lt;="&amp;Analytices!$B$3,WTG_BD!$G:$G,X4)</f>
        <v>8</v>
      </c>
      <c r="Y18" s="154">
        <f>COUNTIFS(WTG_BD!$F:$F,"&gt;="&amp;Analytices!$B$2,WTG_BD!$F:$F,"&lt;="&amp;Analytices!$B$3,WTG_BD!$G:$G,Y4)</f>
        <v>2</v>
      </c>
      <c r="Z18" s="154">
        <f>COUNTIFS(WTG_BD!$F:$F,"&gt;="&amp;Analytices!$B$2,WTG_BD!$F:$F,"&lt;="&amp;Analytices!$B$3,WTG_BD!$G:$G,Z4)</f>
        <v>1</v>
      </c>
      <c r="AA18" s="154">
        <f>COUNTIFS(WTG_BD!$F:$F,"&gt;="&amp;Analytices!$B$2,WTG_BD!$F:$F,"&lt;="&amp;Analytices!$B$3,WTG_BD!$G:$G,AA4)</f>
        <v>5</v>
      </c>
    </row>
    <row r="19" spans="1:27" ht="29.25" customHeight="1">
      <c r="A19" s="127" t="s">
        <v>114</v>
      </c>
      <c r="B19" s="159">
        <f>IFERROR(B17/B18,0)</f>
        <v>5.8333333333333126E-2</v>
      </c>
      <c r="C19" s="159">
        <f t="shared" ref="C19:AA19" si="5">IFERROR(C17/C18,0)</f>
        <v>1.2954545454545454</v>
      </c>
      <c r="D19" s="159">
        <f t="shared" si="5"/>
        <v>3.046666666666666</v>
      </c>
      <c r="E19" s="159">
        <f t="shared" si="5"/>
        <v>0.63500000000000023</v>
      </c>
      <c r="F19" s="159">
        <f t="shared" si="5"/>
        <v>0.23571428571428546</v>
      </c>
      <c r="G19" s="159">
        <f t="shared" si="5"/>
        <v>1.7083333333333333</v>
      </c>
      <c r="H19" s="159">
        <f t="shared" si="5"/>
        <v>0.9916666666666677</v>
      </c>
      <c r="I19" s="159">
        <f t="shared" si="5"/>
        <v>1.0722222222222224</v>
      </c>
      <c r="J19" s="159">
        <f t="shared" si="5"/>
        <v>0.71250000000000013</v>
      </c>
      <c r="K19" s="159">
        <f t="shared" si="5"/>
        <v>0.13333333333333308</v>
      </c>
      <c r="L19" s="159">
        <f t="shared" si="5"/>
        <v>2.6166666666666676</v>
      </c>
      <c r="M19" s="159">
        <f t="shared" si="5"/>
        <v>3.6564915458937195</v>
      </c>
      <c r="N19" s="159">
        <f t="shared" si="5"/>
        <v>1.1055555555555561</v>
      </c>
      <c r="O19" s="159">
        <f t="shared" si="5"/>
        <v>0.21851851851851878</v>
      </c>
      <c r="P19" s="159">
        <f t="shared" si="5"/>
        <v>1.0374652777777778</v>
      </c>
      <c r="Q19" s="159">
        <f t="shared" si="5"/>
        <v>0.70333333333333381</v>
      </c>
      <c r="R19" s="159">
        <f t="shared" si="5"/>
        <v>1.3944444444444442</v>
      </c>
      <c r="S19" s="159">
        <f t="shared" si="5"/>
        <v>3.1499999999999986</v>
      </c>
      <c r="T19" s="159">
        <f t="shared" si="5"/>
        <v>1.7333333333333325</v>
      </c>
      <c r="U19" s="159">
        <f t="shared" si="5"/>
        <v>10.119421296296297</v>
      </c>
      <c r="V19" s="159">
        <f t="shared" si="5"/>
        <v>0.11666666666666692</v>
      </c>
      <c r="W19" s="159">
        <f t="shared" si="5"/>
        <v>0.94285714285714339</v>
      </c>
      <c r="X19" s="159">
        <f t="shared" si="5"/>
        <v>0.61458333333333348</v>
      </c>
      <c r="Y19" s="159">
        <f t="shared" si="5"/>
        <v>0.35000000000000075</v>
      </c>
      <c r="Z19" s="159">
        <f t="shared" si="5"/>
        <v>3.3333333333333215E-2</v>
      </c>
      <c r="AA19" s="159">
        <f t="shared" si="5"/>
        <v>0.9533333333333337</v>
      </c>
    </row>
    <row r="20" spans="1:27" ht="29.25" customHeight="1">
      <c r="A20" s="127" t="s">
        <v>115</v>
      </c>
      <c r="B20" s="159">
        <f>IFERROR(($C$3-B17)/B18,$C$3)</f>
        <v>149.94166666666666</v>
      </c>
      <c r="C20" s="159">
        <f t="shared" ref="C20:AA20" si="6">IFERROR(($C$3-C17)/C18,$C$3)</f>
        <v>53.25</v>
      </c>
      <c r="D20" s="159">
        <f t="shared" si="6"/>
        <v>116.95333333333333</v>
      </c>
      <c r="E20" s="159">
        <f t="shared" si="6"/>
        <v>59.364999999999995</v>
      </c>
      <c r="F20" s="159">
        <f t="shared" si="6"/>
        <v>42.621428571428574</v>
      </c>
      <c r="G20" s="159">
        <f t="shared" si="6"/>
        <v>98.291666666666671</v>
      </c>
      <c r="H20" s="159">
        <f t="shared" si="6"/>
        <v>99.008333333333326</v>
      </c>
      <c r="I20" s="159">
        <f t="shared" si="6"/>
        <v>198.92777777777778</v>
      </c>
      <c r="J20" s="159">
        <f t="shared" si="6"/>
        <v>149.28749999999999</v>
      </c>
      <c r="K20" s="159">
        <f t="shared" si="6"/>
        <v>99.866666666666674</v>
      </c>
      <c r="L20" s="159">
        <f t="shared" si="6"/>
        <v>147.38333333333333</v>
      </c>
      <c r="M20" s="159">
        <f t="shared" si="6"/>
        <v>9.3869867149758459</v>
      </c>
      <c r="N20" s="159">
        <f t="shared" si="6"/>
        <v>198.89444444444442</v>
      </c>
      <c r="O20" s="159">
        <f t="shared" si="6"/>
        <v>66.44814814814815</v>
      </c>
      <c r="P20" s="159">
        <f t="shared" si="6"/>
        <v>73.962534722222216</v>
      </c>
      <c r="Q20" s="159">
        <f t="shared" si="6"/>
        <v>119.29666666666667</v>
      </c>
      <c r="R20" s="159">
        <f t="shared" si="6"/>
        <v>198.60555555555558</v>
      </c>
      <c r="S20" s="159">
        <f t="shared" si="6"/>
        <v>82.564285714285717</v>
      </c>
      <c r="T20" s="159">
        <f t="shared" si="6"/>
        <v>598.26666666666665</v>
      </c>
      <c r="U20" s="159">
        <f t="shared" si="6"/>
        <v>39.880578703703698</v>
      </c>
      <c r="V20" s="159">
        <f t="shared" si="6"/>
        <v>149.88333333333333</v>
      </c>
      <c r="W20" s="159">
        <f t="shared" si="6"/>
        <v>84.771428571428572</v>
      </c>
      <c r="X20" s="159">
        <f t="shared" si="6"/>
        <v>74.385416666666671</v>
      </c>
      <c r="Y20" s="159">
        <f t="shared" si="6"/>
        <v>299.64999999999998</v>
      </c>
      <c r="Z20" s="159">
        <f t="shared" si="6"/>
        <v>599.9666666666667</v>
      </c>
      <c r="AA20" s="159">
        <f t="shared" si="6"/>
        <v>119.04666666666667</v>
      </c>
    </row>
    <row r="21" spans="1:27" ht="29.25" customHeight="1">
      <c r="A21" s="127" t="s">
        <v>116</v>
      </c>
      <c r="B21" s="159">
        <f>ROUND(AVERAGEIFS(Input_Raw!AF:AF,Input_Raw!$A:$A,"&gt;="&amp;Analytices!$B$2,Input_Raw!$A:$A,"&lt;="&amp;Analytices!$B$3),1)</f>
        <v>6.4</v>
      </c>
      <c r="C21" s="159">
        <f>ROUND(AVERAGEIFS(Input_Raw!AG:AG,Input_Raw!$A:$A,"&gt;="&amp;Analytices!$B$2,Input_Raw!$A:$A,"&lt;="&amp;Analytices!$B$3),1)</f>
        <v>6.4</v>
      </c>
      <c r="D21" s="159">
        <f>ROUND(AVERAGEIFS(Input_Raw!AH:AH,Input_Raw!$A:$A,"&gt;="&amp;Analytices!$B$2,Input_Raw!$A:$A,"&lt;="&amp;Analytices!$B$3),1)</f>
        <v>6.3</v>
      </c>
      <c r="E21" s="159">
        <f>ROUND(AVERAGEIFS(Input_Raw!AI:AI,Input_Raw!$A:$A,"&gt;="&amp;Analytices!$B$2,Input_Raw!$A:$A,"&lt;="&amp;Analytices!$B$3),1)</f>
        <v>6.4</v>
      </c>
      <c r="F21" s="159">
        <f>ROUND(AVERAGEIFS(Input_Raw!AJ:AJ,Input_Raw!$A:$A,"&gt;="&amp;Analytices!$B$2,Input_Raw!$A:$A,"&lt;="&amp;Analytices!$B$3),1)</f>
        <v>6.5</v>
      </c>
      <c r="G21" s="159">
        <f>ROUND(AVERAGEIFS(Input_Raw!AK:AK,Input_Raw!$A:$A,"&gt;="&amp;Analytices!$B$2,Input_Raw!$A:$A,"&lt;="&amp;Analytices!$B$3),1)</f>
        <v>6.9</v>
      </c>
      <c r="H21" s="159">
        <f>ROUND(AVERAGEIFS(Input_Raw!AL:AL,Input_Raw!$A:$A,"&gt;="&amp;Analytices!$B$2,Input_Raw!$A:$A,"&lt;="&amp;Analytices!$B$3),1)</f>
        <v>6.3</v>
      </c>
      <c r="I21" s="159">
        <f>ROUND(AVERAGEIFS(Input_Raw!AM:AM,Input_Raw!$A:$A,"&gt;="&amp;Analytices!$B$2,Input_Raw!$A:$A,"&lt;="&amp;Analytices!$B$3),1)</f>
        <v>6.3</v>
      </c>
      <c r="J21" s="159">
        <f>ROUND(AVERAGEIFS(Input_Raw!AN:AN,Input_Raw!$A:$A,"&gt;="&amp;Analytices!$B$2,Input_Raw!$A:$A,"&lt;="&amp;Analytices!$B$3),1)</f>
        <v>6.4</v>
      </c>
      <c r="K21" s="159">
        <f>ROUND(AVERAGEIFS(Input_Raw!AO:AO,Input_Raw!$A:$A,"&gt;="&amp;Analytices!$B$2,Input_Raw!$A:$A,"&lt;="&amp;Analytices!$B$3),1)</f>
        <v>6.4</v>
      </c>
      <c r="L21" s="159">
        <f>ROUND(AVERAGEIFS(Input_Raw!AP:AP,Input_Raw!$A:$A,"&gt;="&amp;Analytices!$B$2,Input_Raw!$A:$A,"&lt;="&amp;Analytices!$B$3),1)</f>
        <v>6.4</v>
      </c>
      <c r="M21" s="159">
        <f>ROUND(AVERAGEIFS(Input_Raw!AQ:AQ,Input_Raw!$A:$A,"&gt;="&amp;Analytices!$B$2,Input_Raw!$A:$A,"&lt;="&amp;Analytices!$B$3),1)</f>
        <v>7.3</v>
      </c>
      <c r="N21" s="159">
        <f>ROUND(AVERAGEIFS(Input_Raw!AR:AR,Input_Raw!$A:$A,"&gt;="&amp;Analytices!$B$2,Input_Raw!$A:$A,"&lt;="&amp;Analytices!$B$3),1)</f>
        <v>6.3</v>
      </c>
      <c r="O21" s="159">
        <f>ROUND(AVERAGEIFS(Input_Raw!AS:AS,Input_Raw!$A:$A,"&gt;="&amp;Analytices!$B$2,Input_Raw!$A:$A,"&lt;="&amp;Analytices!$B$3),1)</f>
        <v>6.4</v>
      </c>
      <c r="P21" s="159">
        <f>ROUND(AVERAGEIFS(Input_Raw!AT:AT,Input_Raw!$A:$A,"&gt;="&amp;Analytices!$B$2,Input_Raw!$A:$A,"&lt;="&amp;Analytices!$B$3),1)</f>
        <v>6.3</v>
      </c>
      <c r="Q21" s="159">
        <f>ROUND(AVERAGEIFS(Input_Raw!AU:AU,Input_Raw!$A:$A,"&gt;="&amp;Analytices!$B$2,Input_Raw!$A:$A,"&lt;="&amp;Analytices!$B$3),1)</f>
        <v>6.4</v>
      </c>
      <c r="R21" s="159">
        <f>ROUND(AVERAGEIFS(Input_Raw!AV:AV,Input_Raw!$A:$A,"&gt;="&amp;Analytices!$B$2,Input_Raw!$A:$A,"&lt;="&amp;Analytices!$B$3),1)</f>
        <v>6.8</v>
      </c>
      <c r="S21" s="159">
        <f>ROUND(AVERAGEIFS(Input_Raw!AW:AW,Input_Raw!$A:$A,"&gt;="&amp;Analytices!$B$2,Input_Raw!$A:$A,"&lt;="&amp;Analytices!$B$3),1)</f>
        <v>6.6</v>
      </c>
      <c r="T21" s="159">
        <f>ROUND(AVERAGEIFS(Input_Raw!AX:AX,Input_Raw!$A:$A,"&gt;="&amp;Analytices!$B$2,Input_Raw!$A:$A,"&lt;="&amp;Analytices!$B$3),1)</f>
        <v>6.6</v>
      </c>
      <c r="U21" s="159">
        <f>ROUND(AVERAGEIFS(Input_Raw!AY:AY,Input_Raw!$A:$A,"&gt;="&amp;Analytices!$B$2,Input_Raw!$A:$A,"&lt;="&amp;Analytices!$B$3),1)</f>
        <v>6.3</v>
      </c>
      <c r="V21" s="159">
        <f>ROUND(AVERAGEIFS(Input_Raw!AZ:AZ,Input_Raw!$A:$A,"&gt;="&amp;Analytices!$B$2,Input_Raw!$A:$A,"&lt;="&amp;Analytices!$B$3),1)</f>
        <v>6.6</v>
      </c>
      <c r="W21" s="159">
        <f>ROUND(AVERAGEIFS(Input_Raw!BA:BA,Input_Raw!$A:$A,"&gt;="&amp;Analytices!$B$2,Input_Raw!$A:$A,"&lt;="&amp;Analytices!$B$3),1)</f>
        <v>6.6</v>
      </c>
      <c r="X21" s="159">
        <f>ROUND(AVERAGEIFS(Input_Raw!BB:BB,Input_Raw!$A:$A,"&gt;="&amp;Analytices!$B$2,Input_Raw!$A:$A,"&lt;="&amp;Analytices!$B$3),1)</f>
        <v>6.4</v>
      </c>
      <c r="Y21" s="159">
        <f>ROUND(AVERAGEIFS(Input_Raw!BC:BC,Input_Raw!$A:$A,"&gt;="&amp;Analytices!$B$2,Input_Raw!$A:$A,"&lt;="&amp;Analytices!$B$3),1)</f>
        <v>6.5</v>
      </c>
      <c r="Z21" s="159">
        <f>ROUND(AVERAGEIFS(Input_Raw!BD:BD,Input_Raw!$A:$A,"&gt;="&amp;Analytices!$B$2,Input_Raw!$A:$A,"&lt;="&amp;Analytices!$B$3),1)</f>
        <v>6.5</v>
      </c>
      <c r="AA21" s="159">
        <f>ROUND(AVERAGEIFS(Input_Raw!BE:BE,Input_Raw!$A:$A,"&gt;="&amp;Analytices!$B$2,Input_Raw!$A:$A,"&lt;="&amp;Analytices!$B$3),1)</f>
        <v>6.4</v>
      </c>
    </row>
    <row r="22" spans="1:27" ht="29.25" customHeight="1">
      <c r="A22" s="84"/>
    </row>
    <row r="23" spans="1:27" ht="29.25" customHeight="1">
      <c r="A23" s="644" t="s">
        <v>117</v>
      </c>
      <c r="B23" s="644"/>
      <c r="C23" s="644"/>
      <c r="D23" s="644"/>
      <c r="E23" s="644"/>
      <c r="F23" s="644"/>
      <c r="G23" s="644"/>
    </row>
    <row r="24" spans="1:27" ht="29.25" customHeight="1">
      <c r="A24" s="85">
        <v>45017</v>
      </c>
    </row>
    <row r="25" spans="1:27" ht="29.25" customHeight="1">
      <c r="D25" s="642" t="s">
        <v>118</v>
      </c>
      <c r="E25" s="642"/>
      <c r="F25" s="642" t="s">
        <v>119</v>
      </c>
      <c r="G25" s="642"/>
    </row>
    <row r="26" spans="1:27" ht="29.25" customHeight="1">
      <c r="D26" s="642">
        <f ca="1">F26</f>
        <v>20304</v>
      </c>
      <c r="E26" s="642"/>
      <c r="F26" s="643">
        <f ca="1">((TODAY()-1)-(A24))*24</f>
        <v>20304</v>
      </c>
      <c r="G26" s="643"/>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70" zoomScaleNormal="70" workbookViewId="0">
      <pane xSplit="4" ySplit="2" topLeftCell="E470" activePane="bottomRight" state="frozen"/>
      <selection pane="topRight" activeCell="E1" sqref="E1"/>
      <selection pane="bottomLeft" activeCell="A3" sqref="A3"/>
      <selection pane="bottomRight" activeCell="N492" sqref="N492"/>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AE484" s="167">
        <f t="shared" si="23"/>
        <v>0</v>
      </c>
    </row>
    <row r="485" spans="1:31">
      <c r="A485" s="197">
        <f t="shared" si="24"/>
        <v>45865</v>
      </c>
      <c r="B485" s="167">
        <f>YEAR(Table7[[#This Row],[Date]])+IF(MONTH(Table7[[#This Row],[Date]])&gt;=4,1,0)</f>
        <v>2026</v>
      </c>
      <c r="C485" s="167">
        <f>YEAR(Table7[[#This Row],[Date]])</f>
        <v>2025</v>
      </c>
      <c r="D485" s="168">
        <f t="shared" si="22"/>
        <v>45839</v>
      </c>
      <c r="AE485" s="167">
        <f t="shared" si="23"/>
        <v>0</v>
      </c>
    </row>
    <row r="486" spans="1:31">
      <c r="A486" s="197">
        <f t="shared" si="24"/>
        <v>45866</v>
      </c>
      <c r="B486" s="167">
        <f>YEAR(Table7[[#This Row],[Date]])+IF(MONTH(Table7[[#This Row],[Date]])&gt;=4,1,0)</f>
        <v>2026</v>
      </c>
      <c r="C486" s="167">
        <f>YEAR(Table7[[#This Row],[Date]])</f>
        <v>2025</v>
      </c>
      <c r="D486" s="168">
        <f t="shared" si="22"/>
        <v>45839</v>
      </c>
      <c r="AE486" s="167">
        <f t="shared" si="23"/>
        <v>0</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3"/>
  <sheetViews>
    <sheetView showGridLines="0" zoomScale="80" zoomScaleNormal="80" workbookViewId="0">
      <pane xSplit="1" ySplit="4" topLeftCell="AR103" activePane="bottomRight" state="frozen"/>
      <selection pane="topRight" activeCell="B5" sqref="B5"/>
      <selection pane="bottomLeft" activeCell="B5" sqref="B5"/>
      <selection pane="bottomRight" activeCell="AO128" sqref="AO128"/>
    </sheetView>
  </sheetViews>
  <sheetFormatPr defaultColWidth="8.453125" defaultRowHeight="14.5"/>
  <cols>
    <col min="1" max="1" width="11.453125" style="1" bestFit="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23"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c r="A121" s="240">
        <f t="shared" si="14"/>
        <v>45861</v>
      </c>
      <c r="B121" s="11">
        <f>YEAR(Input_Raw[[#This Row],[Date]])+IF(MONTH(Input_Raw[[#This Row],[Date]])&gt;=4,1,0)</f>
        <v>2026</v>
      </c>
      <c r="C121" s="11">
        <f>YEAR(Input_Raw[[#This Row],[Date]])</f>
        <v>2025</v>
      </c>
      <c r="D121" s="12">
        <f>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c r="A122" s="240">
        <f t="shared" si="14"/>
        <v>45862</v>
      </c>
      <c r="B122" s="11">
        <f>YEAR(Input_Raw[[#This Row],[Date]])+IF(MONTH(Input_Raw[[#This Row],[Date]])&gt;=4,1,0)</f>
        <v>2026</v>
      </c>
      <c r="C122" s="11">
        <f>YEAR(Input_Raw[[#This Row],[Date]])</f>
        <v>2025</v>
      </c>
      <c r="D122" s="12">
        <f>A122-DAY(A122)+1</f>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c r="A123" s="240">
        <f t="shared" si="14"/>
        <v>45863</v>
      </c>
      <c r="B123" s="11">
        <f>YEAR(Input_Raw[[#This Row],[Date]])+IF(MONTH(Input_Raw[[#This Row],[Date]])&gt;=4,1,0)</f>
        <v>2026</v>
      </c>
      <c r="C123" s="11">
        <f>YEAR(Input_Raw[[#This Row],[Date]])</f>
        <v>2025</v>
      </c>
      <c r="D123" s="12">
        <f>A123-DAY(A123)+1</f>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sheetData>
  <phoneticPr fontId="10" type="noConversion"/>
  <pageMargins left="0.7" right="0.7" top="0.75" bottom="0.75" header="0.3" footer="0.3"/>
  <pageSetup paperSize="9" orientation="portrait" r:id="rId1"/>
  <ignoredErrors>
    <ignoredError sqref="BO5:BO97 BO118:BO123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24"/>
  <sheetViews>
    <sheetView zoomScale="80" workbookViewId="0">
      <pane xSplit="7" ySplit="1" topLeftCell="H1599" activePane="bottomRight" state="frozen"/>
      <selection pane="topRight" activeCell="H1" sqref="H1"/>
      <selection pane="bottomLeft" activeCell="A2" sqref="A2"/>
      <selection pane="bottomRight" activeCell="J1627" sqref="J1627"/>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14"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1992</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1992</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1992</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1992</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1992</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1992</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1924</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1992</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1924</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1992</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1924</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1992</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1924</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1992</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1924</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1992</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1924</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1992</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1956</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2055</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1992</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1924</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1992</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2105</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1992</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1924</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1992</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1924</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1992</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2106</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1992</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2036</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1992</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1924</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1992</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1924</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1992</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1924</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1992</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2107</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1992</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1924</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1992</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1924</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1992</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2108</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102">
        <f>YEAR(Table6[[#This Row],[Date]])</f>
        <v>2025</v>
      </c>
      <c r="D1599" s="102" t="s">
        <v>1992</v>
      </c>
      <c r="E1599" s="469">
        <f>Table6[[#This Row],[Date]]-DAY(Table6[[#This Row],[Date]])+1</f>
        <v>45839</v>
      </c>
      <c r="F1599" s="470">
        <v>45860</v>
      </c>
      <c r="G1599" s="35" t="s">
        <v>75</v>
      </c>
      <c r="H1599" s="35" t="str">
        <f>IFERROR(_xlfn.XLOOKUP(Table6[[#This Row],[Affected WTG]],'Basic Data'!$A:$A,'Basic Data'!$B:$B),"")</f>
        <v>TQGXIIPL</v>
      </c>
      <c r="I1599" s="35" t="str">
        <f>IFERROR(_xlfn.XLOOKUP(Table6[[#This Row],[Affected WTG]],'Basic Data'!$A:$A,'Basic Data'!$C:$C),"")</f>
        <v>GEDA</v>
      </c>
      <c r="J1599" s="471">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2110</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102">
        <f>YEAR(Table6[[#This Row],[Date]])</f>
        <v>2025</v>
      </c>
      <c r="D1600" s="102" t="s">
        <v>1992</v>
      </c>
      <c r="E1600" s="469">
        <f>Table6[[#This Row],[Date]]-DAY(Table6[[#This Row],[Date]])+1</f>
        <v>45839</v>
      </c>
      <c r="F1600" s="470">
        <v>45860</v>
      </c>
      <c r="G1600" s="35" t="s">
        <v>83</v>
      </c>
      <c r="H1600" s="35" t="str">
        <f>IFERROR(_xlfn.XLOOKUP(Table6[[#This Row],[Affected WTG]],'Basic Data'!$A:$A,'Basic Data'!$B:$B),"")</f>
        <v>TQGXIIPL</v>
      </c>
      <c r="I1600" s="35" t="str">
        <f>IFERROR(_xlfn.XLOOKUP(Table6[[#This Row],[Affected WTG]],'Basic Data'!$A:$A,'Basic Data'!$C:$C),"")</f>
        <v>GEDA</v>
      </c>
      <c r="J1600" s="471">
        <f>IFERROR(_xlfn.XLOOKUP(Table6[[#This Row],[Affected WTG]],'Basic Data'!$A:$A,'Basic Data'!$E:$E),"")</f>
        <v>3.846153846153845E-2</v>
      </c>
      <c r="K1600" s="102">
        <v>656</v>
      </c>
      <c r="L1600" s="35"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1924</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row r="1601" spans="1:30">
      <c r="A1601" s="102">
        <f t="shared" si="25"/>
        <v>1600</v>
      </c>
      <c r="B1601" s="468">
        <f>YEAR(Table6[[#This Row],[Date]])+IF(MONTH(Table6[[#This Row],[Date]])&gt;=4,1,0)</f>
        <v>2026</v>
      </c>
      <c r="C1601" s="102">
        <f>YEAR(Table6[[#This Row],[Date]])</f>
        <v>2025</v>
      </c>
      <c r="D1601" s="102" t="s">
        <v>1992</v>
      </c>
      <c r="E1601" s="469">
        <f>Table6[[#This Row],[Date]]-DAY(Table6[[#This Row],[Date]])+1</f>
        <v>45839</v>
      </c>
      <c r="F1601" s="470">
        <v>45860</v>
      </c>
      <c r="G1601" s="35" t="s">
        <v>90</v>
      </c>
      <c r="H1601" s="35" t="str">
        <f>IFERROR(_xlfn.XLOOKUP(Table6[[#This Row],[Affected WTG]],'Basic Data'!$A:$A,'Basic Data'!$B:$B),"")</f>
        <v>TQGXIIPL</v>
      </c>
      <c r="I1601" s="35" t="str">
        <f>IFERROR(_xlfn.XLOOKUP(Table6[[#This Row],[Affected WTG]],'Basic Data'!$A:$A,'Basic Data'!$C:$C),"")</f>
        <v>GEDA</v>
      </c>
      <c r="J1601" s="471">
        <f>IFERROR(_xlfn.XLOOKUP(Table6[[#This Row],[Affected WTG]],'Basic Data'!$A:$A,'Basic Data'!$E:$E),"")</f>
        <v>3.846153846153845E-2</v>
      </c>
      <c r="K1601" s="102">
        <v>55</v>
      </c>
      <c r="L1601" s="35" t="str">
        <f>IFERROR(_xlfn.XLOOKUP(Table6[[#This Row],[Error Code]],'Basic Data'!$AA:$AA,'Basic Data'!$AB:$AB),"Incorrect Error Code")</f>
        <v>WTG shut down</v>
      </c>
      <c r="M1601" s="35" t="s">
        <v>291</v>
      </c>
      <c r="N1601" s="475"/>
      <c r="O1601" s="476">
        <v>0.87222222222222223</v>
      </c>
      <c r="P1601" s="476">
        <v>0.87222222222222223</v>
      </c>
      <c r="Q1601" s="477">
        <v>1</v>
      </c>
      <c r="R1601" s="472">
        <f>IF(Table6[[#This Row],[Work Start TimeStamp]]="","",(Table6[[#This Row],[Work Start TimeStamp]]-Table6[[#This Row],[Fault Start TimeStamp]])*24)</f>
        <v>0</v>
      </c>
      <c r="S1601" s="472">
        <f>(Table6[[#This Row],[Fault Clearance time]]-Table6[[#This Row],[Work Start TimeStamp]])*24</f>
        <v>3.0666666666666664</v>
      </c>
      <c r="T1601" s="472">
        <f>(Table6[[#This Row],[Fault Clearance time]]-Table6[[#This Row],[Fault Start TimeStamp]])*24</f>
        <v>3.0666666666666664</v>
      </c>
      <c r="U1601" s="35" t="s">
        <v>2111</v>
      </c>
      <c r="V1601" s="102" t="s">
        <v>293</v>
      </c>
      <c r="W1601" s="549">
        <f>IFERROR(Table6[[#This Row],[Breakdown Time]]*Table6[[#This Row],[Plant Equivalent Weightage]],"")</f>
        <v>0.1179487179487179</v>
      </c>
      <c r="X1601" s="473" t="s">
        <v>290</v>
      </c>
      <c r="Y1601" s="474" t="s">
        <v>95</v>
      </c>
      <c r="Z1601" s="102">
        <v>23902</v>
      </c>
      <c r="AA1601" s="468">
        <f>(Table6[[#This Row],[Paired WTG Generation for loss calculation]]/24)*Table6[[#This Row],[Breakdown Time]]</f>
        <v>3054.1444444444442</v>
      </c>
      <c r="AB1601" s="102"/>
      <c r="AC1601" s="35"/>
      <c r="AD1601" s="35"/>
    </row>
    <row r="1602" spans="1:30">
      <c r="A1602" s="102">
        <f t="shared" si="25"/>
        <v>1601</v>
      </c>
      <c r="B1602" s="468">
        <f>YEAR(Table6[[#This Row],[Date]])+IF(MONTH(Table6[[#This Row],[Date]])&gt;=4,1,0)</f>
        <v>2026</v>
      </c>
      <c r="C1602" s="102">
        <f>YEAR(Table6[[#This Row],[Date]])</f>
        <v>2025</v>
      </c>
      <c r="D1602" s="102" t="s">
        <v>1992</v>
      </c>
      <c r="E1602" s="469">
        <f>Table6[[#This Row],[Date]]-DAY(Table6[[#This Row],[Date]])+1</f>
        <v>45839</v>
      </c>
      <c r="F1602" s="470">
        <v>45861</v>
      </c>
      <c r="G1602" s="35" t="s">
        <v>77</v>
      </c>
      <c r="H1602" s="35" t="str">
        <f>IFERROR(_xlfn.XLOOKUP(Table6[[#This Row],[Affected WTG]],'Basic Data'!$A:$A,'Basic Data'!$B:$B),"")</f>
        <v>TQGXIIPL</v>
      </c>
      <c r="I1602" s="35" t="str">
        <f>IFERROR(_xlfn.XLOOKUP(Table6[[#This Row],[Affected WTG]],'Basic Data'!$A:$A,'Basic Data'!$C:$C),"")</f>
        <v>GEDA</v>
      </c>
      <c r="J1602" s="471">
        <f>IFERROR(_xlfn.XLOOKUP(Table6[[#This Row],[Affected WTG]],'Basic Data'!$A:$A,'Basic Data'!$E:$E),"")</f>
        <v>3.846153846153845E-2</v>
      </c>
      <c r="K1602" s="102">
        <v>6130</v>
      </c>
      <c r="L1602" s="35" t="str">
        <f>IFERROR(_xlfn.XLOOKUP(Table6[[#This Row],[Error Code]],'Basic Data'!$AA:$AA,'Basic Data'!$AB:$AB),"Incorrect Error Code")</f>
        <v>Yaw speed high</v>
      </c>
      <c r="M1602" s="35" t="s">
        <v>291</v>
      </c>
      <c r="N1602" s="475"/>
      <c r="O1602" s="476">
        <v>0.40902777777777777</v>
      </c>
      <c r="P1602" s="476">
        <v>0.40902777777777777</v>
      </c>
      <c r="Q1602" s="477">
        <v>0.41180555555555554</v>
      </c>
      <c r="R1602" s="472">
        <f>IF(Table6[[#This Row],[Work Start TimeStamp]]="","",(Table6[[#This Row],[Work Start TimeStamp]]-Table6[[#This Row],[Fault Start TimeStamp]])*24)</f>
        <v>0</v>
      </c>
      <c r="S1602" s="472">
        <f>(Table6[[#This Row],[Fault Clearance time]]-Table6[[#This Row],[Work Start TimeStamp]])*24</f>
        <v>6.666666666666643E-2</v>
      </c>
      <c r="T1602" s="472">
        <f>(Table6[[#This Row],[Fault Clearance time]]-Table6[[#This Row],[Fault Start TimeStamp]])*24</f>
        <v>6.666666666666643E-2</v>
      </c>
      <c r="U1602" s="35" t="s">
        <v>1924</v>
      </c>
      <c r="V1602" s="102" t="s">
        <v>293</v>
      </c>
      <c r="W1602" s="549">
        <f>IFERROR(Table6[[#This Row],[Breakdown Time]]*Table6[[#This Row],[Plant Equivalent Weightage]],"")</f>
        <v>2.5641025641025541E-3</v>
      </c>
      <c r="X1602" s="473" t="s">
        <v>294</v>
      </c>
      <c r="Y1602" s="474" t="s">
        <v>80</v>
      </c>
      <c r="Z1602" s="102">
        <v>35706</v>
      </c>
      <c r="AA1602" s="468">
        <f>(Table6[[#This Row],[Paired WTG Generation for loss calculation]]/24)*Table6[[#This Row],[Breakdown Time]]</f>
        <v>99.183333333332982</v>
      </c>
      <c r="AB1602" s="102"/>
      <c r="AC1602" s="35"/>
      <c r="AD1602" s="35"/>
    </row>
    <row r="1603" spans="1:30">
      <c r="A1603" s="102">
        <f t="shared" si="25"/>
        <v>1602</v>
      </c>
      <c r="B1603" s="468">
        <f>YEAR(Table6[[#This Row],[Date]])+IF(MONTH(Table6[[#This Row],[Date]])&gt;=4,1,0)</f>
        <v>2026</v>
      </c>
      <c r="C1603" s="102">
        <f>YEAR(Table6[[#This Row],[Date]])</f>
        <v>2025</v>
      </c>
      <c r="D1603" s="102" t="s">
        <v>1992</v>
      </c>
      <c r="E1603" s="469">
        <f>Table6[[#This Row],[Date]]-DAY(Table6[[#This Row],[Date]])+1</f>
        <v>45839</v>
      </c>
      <c r="F1603" s="470">
        <v>45861</v>
      </c>
      <c r="G1603" s="35" t="s">
        <v>77</v>
      </c>
      <c r="H1603" s="35" t="str">
        <f>IFERROR(_xlfn.XLOOKUP(Table6[[#This Row],[Affected WTG]],'Basic Data'!$A:$A,'Basic Data'!$B:$B),"")</f>
        <v>TQGXIIPL</v>
      </c>
      <c r="I1603" s="35" t="str">
        <f>IFERROR(_xlfn.XLOOKUP(Table6[[#This Row],[Affected WTG]],'Basic Data'!$A:$A,'Basic Data'!$C:$C),"")</f>
        <v>GEDA</v>
      </c>
      <c r="J1603" s="471">
        <f>IFERROR(_xlfn.XLOOKUP(Table6[[#This Row],[Affected WTG]],'Basic Data'!$A:$A,'Basic Data'!$E:$E),"")</f>
        <v>3.846153846153845E-2</v>
      </c>
      <c r="K1603" s="102">
        <v>6130</v>
      </c>
      <c r="L1603" s="35" t="str">
        <f>IFERROR(_xlfn.XLOOKUP(Table6[[#This Row],[Error Code]],'Basic Data'!$AA:$AA,'Basic Data'!$AB:$AB),"Incorrect Error Code")</f>
        <v>Yaw speed high</v>
      </c>
      <c r="M1603" s="35" t="s">
        <v>291</v>
      </c>
      <c r="N1603" s="475"/>
      <c r="O1603" s="476">
        <v>0.5083333333333333</v>
      </c>
      <c r="P1603" s="476">
        <v>0.5083333333333333</v>
      </c>
      <c r="Q1603" s="477">
        <v>0.50972222222222219</v>
      </c>
      <c r="R1603" s="472">
        <f>IF(Table6[[#This Row],[Work Start TimeStamp]]="","",(Table6[[#This Row],[Work Start TimeStamp]]-Table6[[#This Row],[Fault Start TimeStamp]])*24)</f>
        <v>0</v>
      </c>
      <c r="S1603" s="472">
        <f>(Table6[[#This Row],[Fault Clearance time]]-Table6[[#This Row],[Work Start TimeStamp]])*24</f>
        <v>3.3333333333333215E-2</v>
      </c>
      <c r="T1603" s="472">
        <f>(Table6[[#This Row],[Fault Clearance time]]-Table6[[#This Row],[Fault Start TimeStamp]])*24</f>
        <v>3.3333333333333215E-2</v>
      </c>
      <c r="U1603" s="35" t="s">
        <v>1924</v>
      </c>
      <c r="V1603" s="102" t="s">
        <v>293</v>
      </c>
      <c r="W1603" s="549">
        <f>IFERROR(Table6[[#This Row],[Breakdown Time]]*Table6[[#This Row],[Plant Equivalent Weightage]],"")</f>
        <v>1.2820512820512771E-3</v>
      </c>
      <c r="X1603" s="473" t="s">
        <v>294</v>
      </c>
      <c r="Y1603" s="474" t="s">
        <v>80</v>
      </c>
      <c r="Z1603" s="102">
        <v>35706</v>
      </c>
      <c r="AA1603" s="468">
        <f>(Table6[[#This Row],[Paired WTG Generation for loss calculation]]/24)*Table6[[#This Row],[Breakdown Time]]</f>
        <v>49.591666666666491</v>
      </c>
      <c r="AB1603" s="102"/>
      <c r="AC1603" s="35"/>
      <c r="AD1603" s="35"/>
    </row>
    <row r="1604" spans="1:30">
      <c r="A1604" s="102">
        <f t="shared" si="25"/>
        <v>1603</v>
      </c>
      <c r="B1604" s="468">
        <f>YEAR(Table6[[#This Row],[Date]])+IF(MONTH(Table6[[#This Row],[Date]])&gt;=4,1,0)</f>
        <v>2026</v>
      </c>
      <c r="C1604" s="102">
        <f>YEAR(Table6[[#This Row],[Date]])</f>
        <v>2025</v>
      </c>
      <c r="D1604" s="102" t="s">
        <v>1992</v>
      </c>
      <c r="E1604" s="469">
        <f>Table6[[#This Row],[Date]]-DAY(Table6[[#This Row],[Date]])+1</f>
        <v>45839</v>
      </c>
      <c r="F1604" s="470">
        <v>45861</v>
      </c>
      <c r="G1604" s="35" t="s">
        <v>81</v>
      </c>
      <c r="H1604" s="35" t="str">
        <f>IFERROR(_xlfn.XLOOKUP(Table6[[#This Row],[Affected WTG]],'Basic Data'!$A:$A,'Basic Data'!$B:$B),"")</f>
        <v>TQGXIIPL</v>
      </c>
      <c r="I1604" s="35" t="str">
        <f>IFERROR(_xlfn.XLOOKUP(Table6[[#This Row],[Affected WTG]],'Basic Data'!$A:$A,'Basic Data'!$C:$C),"")</f>
        <v>GEDA</v>
      </c>
      <c r="J1604" s="471">
        <f>IFERROR(_xlfn.XLOOKUP(Table6[[#This Row],[Affected WTG]],'Basic Data'!$A:$A,'Basic Data'!$E:$E),"")</f>
        <v>3.846153846153845E-2</v>
      </c>
      <c r="K1604" s="102">
        <v>6605</v>
      </c>
      <c r="L1604" s="35" t="str">
        <f>IFERROR(_xlfn.XLOOKUP(Table6[[#This Row],[Error Code]],'Basic Data'!$AA:$AA,'Basic Data'!$AB:$AB),"Incorrect Error Code")</f>
        <v>Wind.dir. diff. level 2</v>
      </c>
      <c r="M1604" s="35" t="s">
        <v>291</v>
      </c>
      <c r="N1604" s="475"/>
      <c r="O1604" s="476">
        <v>0.59652777777777777</v>
      </c>
      <c r="P1604" s="476">
        <v>0.59652777777777777</v>
      </c>
      <c r="Q1604" s="477">
        <v>0.59722222222222221</v>
      </c>
      <c r="R1604" s="472">
        <f>IF(Table6[[#This Row],[Work Start TimeStamp]]="","",(Table6[[#This Row],[Work Start TimeStamp]]-Table6[[#This Row],[Fault Start TimeStamp]])*24)</f>
        <v>0</v>
      </c>
      <c r="S1604" s="472">
        <f>(Table6[[#This Row],[Fault Clearance time]]-Table6[[#This Row],[Work Start TimeStamp]])*24</f>
        <v>1.6666666666666607E-2</v>
      </c>
      <c r="T1604" s="472">
        <f>(Table6[[#This Row],[Fault Clearance time]]-Table6[[#This Row],[Fault Start TimeStamp]])*24</f>
        <v>1.6666666666666607E-2</v>
      </c>
      <c r="U1604" s="35" t="s">
        <v>1924</v>
      </c>
      <c r="V1604" s="102" t="s">
        <v>293</v>
      </c>
      <c r="W1604" s="549">
        <f>IFERROR(Table6[[#This Row],[Breakdown Time]]*Table6[[#This Row],[Plant Equivalent Weightage]],"")</f>
        <v>6.4102564102563853E-4</v>
      </c>
      <c r="X1604" s="473" t="s">
        <v>294</v>
      </c>
      <c r="Y1604" s="474" t="s">
        <v>99</v>
      </c>
      <c r="Z1604" s="102">
        <v>37365</v>
      </c>
      <c r="AA1604" s="468">
        <f>(Table6[[#This Row],[Paired WTG Generation for loss calculation]]/24)*Table6[[#This Row],[Breakdown Time]]</f>
        <v>25.947916666666575</v>
      </c>
      <c r="AB1604" s="102"/>
      <c r="AC1604" s="35"/>
      <c r="AD1604" s="35"/>
    </row>
    <row r="1605" spans="1:30">
      <c r="A1605" s="102">
        <f t="shared" si="25"/>
        <v>1604</v>
      </c>
      <c r="B1605" s="468">
        <f>YEAR(Table6[[#This Row],[Date]])+IF(MONTH(Table6[[#This Row],[Date]])&gt;=4,1,0)</f>
        <v>2026</v>
      </c>
      <c r="C1605" s="102">
        <f>YEAR(Table6[[#This Row],[Date]])</f>
        <v>2025</v>
      </c>
      <c r="D1605" s="102" t="s">
        <v>1992</v>
      </c>
      <c r="E1605" s="469">
        <f>Table6[[#This Row],[Date]]-DAY(Table6[[#This Row],[Date]])+1</f>
        <v>45839</v>
      </c>
      <c r="F1605" s="470">
        <v>45861</v>
      </c>
      <c r="G1605" s="35" t="s">
        <v>90</v>
      </c>
      <c r="H1605" s="35" t="str">
        <f>IFERROR(_xlfn.XLOOKUP(Table6[[#This Row],[Affected WTG]],'Basic Data'!$A:$A,'Basic Data'!$B:$B),"")</f>
        <v>TQGXIIPL</v>
      </c>
      <c r="I1605" s="35" t="str">
        <f>IFERROR(_xlfn.XLOOKUP(Table6[[#This Row],[Affected WTG]],'Basic Data'!$A:$A,'Basic Data'!$C:$C),"")</f>
        <v>GEDA</v>
      </c>
      <c r="J1605" s="471">
        <f>IFERROR(_xlfn.XLOOKUP(Table6[[#This Row],[Affected WTG]],'Basic Data'!$A:$A,'Basic Data'!$E:$E),"")</f>
        <v>3.846153846153845E-2</v>
      </c>
      <c r="K1605" s="102">
        <v>55</v>
      </c>
      <c r="L1605" s="35" t="str">
        <f>IFERROR(_xlfn.XLOOKUP(Table6[[#This Row],[Error Code]],'Basic Data'!$AA:$AA,'Basic Data'!$AB:$AB),"Incorrect Error Code")</f>
        <v>WTG shut down</v>
      </c>
      <c r="M1605" s="35" t="s">
        <v>291</v>
      </c>
      <c r="N1605" s="475"/>
      <c r="O1605" s="476">
        <v>0</v>
      </c>
      <c r="P1605" s="476">
        <v>0</v>
      </c>
      <c r="Q1605" s="477">
        <v>2.0833333333333332E-2</v>
      </c>
      <c r="R1605" s="472">
        <f>IF(Table6[[#This Row],[Work Start TimeStamp]]="","",(Table6[[#This Row],[Work Start TimeStamp]]-Table6[[#This Row],[Fault Start TimeStamp]])*24)</f>
        <v>0</v>
      </c>
      <c r="S1605" s="472">
        <f>(Table6[[#This Row],[Fault Clearance time]]-Table6[[#This Row],[Work Start TimeStamp]])*24</f>
        <v>0.5</v>
      </c>
      <c r="T1605" s="472">
        <f>(Table6[[#This Row],[Fault Clearance time]]-Table6[[#This Row],[Fault Start TimeStamp]])*24</f>
        <v>0.5</v>
      </c>
      <c r="U1605" s="35" t="s">
        <v>2112</v>
      </c>
      <c r="V1605" s="102" t="s">
        <v>293</v>
      </c>
      <c r="W1605" s="549">
        <f>IFERROR(Table6[[#This Row],[Breakdown Time]]*Table6[[#This Row],[Plant Equivalent Weightage]],"")</f>
        <v>1.9230769230769225E-2</v>
      </c>
      <c r="X1605" s="473" t="s">
        <v>290</v>
      </c>
      <c r="Y1605" s="474" t="s">
        <v>95</v>
      </c>
      <c r="Z1605" s="102">
        <v>33354</v>
      </c>
      <c r="AA1605" s="468">
        <f>(Table6[[#This Row],[Paired WTG Generation for loss calculation]]/24)*Table6[[#This Row],[Breakdown Time]]</f>
        <v>694.875</v>
      </c>
      <c r="AB1605" s="102"/>
      <c r="AC1605" s="35"/>
      <c r="AD1605" s="35"/>
    </row>
    <row r="1606" spans="1:30">
      <c r="A1606" s="102">
        <f t="shared" si="25"/>
        <v>1605</v>
      </c>
      <c r="B1606" s="468">
        <f>YEAR(Table6[[#This Row],[Date]])+IF(MONTH(Table6[[#This Row],[Date]])&gt;=4,1,0)</f>
        <v>2026</v>
      </c>
      <c r="C1606" s="102">
        <f>YEAR(Table6[[#This Row],[Date]])</f>
        <v>2025</v>
      </c>
      <c r="D1606" s="102" t="s">
        <v>1992</v>
      </c>
      <c r="E1606" s="469">
        <f>Table6[[#This Row],[Date]]-DAY(Table6[[#This Row],[Date]])+1</f>
        <v>45839</v>
      </c>
      <c r="F1606" s="470">
        <v>45861</v>
      </c>
      <c r="G1606" s="35" t="s">
        <v>90</v>
      </c>
      <c r="H1606" s="35" t="str">
        <f>IFERROR(_xlfn.XLOOKUP(Table6[[#This Row],[Affected WTG]],'Basic Data'!$A:$A,'Basic Data'!$B:$B),"")</f>
        <v>TQGXIIPL</v>
      </c>
      <c r="I1606" s="35" t="str">
        <f>IFERROR(_xlfn.XLOOKUP(Table6[[#This Row],[Affected WTG]],'Basic Data'!$A:$A,'Basic Data'!$C:$C),"")</f>
        <v>GEDA</v>
      </c>
      <c r="J1606" s="471">
        <f>IFERROR(_xlfn.XLOOKUP(Table6[[#This Row],[Affected WTG]],'Basic Data'!$A:$A,'Basic Data'!$E:$E),"")</f>
        <v>3.846153846153845E-2</v>
      </c>
      <c r="K1606" s="102">
        <v>55</v>
      </c>
      <c r="L1606" s="35" t="str">
        <f>IFERROR(_xlfn.XLOOKUP(Table6[[#This Row],[Error Code]],'Basic Data'!$AA:$AA,'Basic Data'!$AB:$AB),"Incorrect Error Code")</f>
        <v>WTG shut down</v>
      </c>
      <c r="M1606" s="35" t="s">
        <v>291</v>
      </c>
      <c r="N1606" s="475"/>
      <c r="O1606" s="476">
        <v>3.8194444444444448E-2</v>
      </c>
      <c r="P1606" s="476">
        <v>3.8194444444444448E-2</v>
      </c>
      <c r="Q1606" s="477">
        <v>6.3888888888888884E-2</v>
      </c>
      <c r="R1606" s="472">
        <f>IF(Table6[[#This Row],[Work Start TimeStamp]]="","",(Table6[[#This Row],[Work Start TimeStamp]]-Table6[[#This Row],[Fault Start TimeStamp]])*24)</f>
        <v>0</v>
      </c>
      <c r="S1606" s="472">
        <f>(Table6[[#This Row],[Fault Clearance time]]-Table6[[#This Row],[Work Start TimeStamp]])*24</f>
        <v>0.61666666666666647</v>
      </c>
      <c r="T1606" s="472">
        <f>(Table6[[#This Row],[Fault Clearance time]]-Table6[[#This Row],[Fault Start TimeStamp]])*24</f>
        <v>0.61666666666666647</v>
      </c>
      <c r="U1606" s="35" t="s">
        <v>2113</v>
      </c>
      <c r="V1606" s="102" t="s">
        <v>293</v>
      </c>
      <c r="W1606" s="549">
        <f>IFERROR(Table6[[#This Row],[Breakdown Time]]*Table6[[#This Row],[Plant Equivalent Weightage]],"")</f>
        <v>2.3717948717948703E-2</v>
      </c>
      <c r="X1606" s="473" t="s">
        <v>290</v>
      </c>
      <c r="Y1606" s="474" t="s">
        <v>95</v>
      </c>
      <c r="Z1606" s="102">
        <v>33354</v>
      </c>
      <c r="AA1606" s="468">
        <f>(Table6[[#This Row],[Paired WTG Generation for loss calculation]]/24)*Table6[[#This Row],[Breakdown Time]]</f>
        <v>857.0124999999997</v>
      </c>
      <c r="AB1606" s="102"/>
      <c r="AC1606" s="35"/>
      <c r="AD1606" s="35"/>
    </row>
    <row r="1607" spans="1:30">
      <c r="A1607" s="102">
        <f t="shared" si="25"/>
        <v>1606</v>
      </c>
      <c r="B1607" s="468">
        <f>YEAR(Table6[[#This Row],[Date]])+IF(MONTH(Table6[[#This Row],[Date]])&gt;=4,1,0)</f>
        <v>2026</v>
      </c>
      <c r="C1607" s="102">
        <f>YEAR(Table6[[#This Row],[Date]])</f>
        <v>2025</v>
      </c>
      <c r="D1607" s="102" t="s">
        <v>1992</v>
      </c>
      <c r="E1607" s="469">
        <f>Table6[[#This Row],[Date]]-DAY(Table6[[#This Row],[Date]])+1</f>
        <v>45839</v>
      </c>
      <c r="F1607" s="470">
        <v>45862</v>
      </c>
      <c r="G1607" s="35" t="s">
        <v>93</v>
      </c>
      <c r="H1607" s="35" t="str">
        <f>IFERROR(_xlfn.XLOOKUP(Table6[[#This Row],[Affected WTG]],'Basic Data'!$A:$A,'Basic Data'!$B:$B),"")</f>
        <v>TQGXIIPL</v>
      </c>
      <c r="I1607" s="35" t="str">
        <f>IFERROR(_xlfn.XLOOKUP(Table6[[#This Row],[Affected WTG]],'Basic Data'!$A:$A,'Basic Data'!$C:$C),"")</f>
        <v>GEDA</v>
      </c>
      <c r="J1607" s="471">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295</v>
      </c>
      <c r="N1607" s="475"/>
      <c r="O1607" s="476">
        <v>4.8611111111111112E-2</v>
      </c>
      <c r="P1607" s="476">
        <v>7.9861111111111105E-2</v>
      </c>
      <c r="Q1607" s="477">
        <v>0.58680555555555558</v>
      </c>
      <c r="R1607" s="472">
        <f>IF(Table6[[#This Row],[Work Start TimeStamp]]="","",(Table6[[#This Row],[Work Start TimeStamp]]-Table6[[#This Row],[Fault Start TimeStamp]])*24)</f>
        <v>0.74999999999999978</v>
      </c>
      <c r="S1607" s="472">
        <f>(Table6[[#This Row],[Fault Clearance time]]-Table6[[#This Row],[Work Start TimeStamp]])*24</f>
        <v>12.166666666666666</v>
      </c>
      <c r="T1607" s="472">
        <f>(Table6[[#This Row],[Fault Clearance time]]-Table6[[#This Row],[Fault Start TimeStamp]])*24</f>
        <v>12.916666666666666</v>
      </c>
      <c r="U1607" s="35" t="s">
        <v>2114</v>
      </c>
      <c r="V1607" s="102" t="s">
        <v>293</v>
      </c>
      <c r="W1607" s="549">
        <f>IFERROR(Table6[[#This Row],[Breakdown Time]]*Table6[[#This Row],[Plant Equivalent Weightage]],"")</f>
        <v>0.49679487179487164</v>
      </c>
      <c r="X1607" s="473" t="s">
        <v>290</v>
      </c>
      <c r="Y1607" s="474" t="s">
        <v>97</v>
      </c>
      <c r="Z1607" s="102">
        <v>16710</v>
      </c>
      <c r="AA1607" s="468">
        <f>(Table6[[#This Row],[Paired WTG Generation for loss calculation]]/24)*Table6[[#This Row],[Breakdown Time]]</f>
        <v>8993.2291666666661</v>
      </c>
      <c r="AB1607" s="102"/>
      <c r="AC1607" s="35"/>
      <c r="AD1607" s="35"/>
    </row>
    <row r="1608" spans="1:30">
      <c r="A1608" s="102">
        <f t="shared" si="25"/>
        <v>1607</v>
      </c>
      <c r="B1608" s="468">
        <f>YEAR(Table6[[#This Row],[Date]])+IF(MONTH(Table6[[#This Row],[Date]])&gt;=4,1,0)</f>
        <v>2026</v>
      </c>
      <c r="C1608" s="102">
        <f>YEAR(Table6[[#This Row],[Date]])</f>
        <v>2025</v>
      </c>
      <c r="D1608" s="102" t="s">
        <v>1992</v>
      </c>
      <c r="E1608" s="469">
        <f>Table6[[#This Row],[Date]]-DAY(Table6[[#This Row],[Date]])+1</f>
        <v>45839</v>
      </c>
      <c r="F1608" s="470">
        <v>45863</v>
      </c>
      <c r="G1608" s="35" t="s">
        <v>74</v>
      </c>
      <c r="H1608" s="35" t="str">
        <f>IFERROR(_xlfn.XLOOKUP(Table6[[#This Row],[Affected WTG]],'Basic Data'!$A:$A,'Basic Data'!$B:$B),"")</f>
        <v>TQGXIIPL</v>
      </c>
      <c r="I1608" s="35" t="str">
        <f>IFERROR(_xlfn.XLOOKUP(Table6[[#This Row],[Affected WTG]],'Basic Data'!$A:$A,'Basic Data'!$C:$C),"")</f>
        <v>GEDA</v>
      </c>
      <c r="J1608" s="471">
        <f>IFERROR(_xlfn.XLOOKUP(Table6[[#This Row],[Affected WTG]],'Basic Data'!$A:$A,'Basic Data'!$E:$E),"")</f>
        <v>3.846153846153845E-2</v>
      </c>
      <c r="K1608" s="102">
        <v>55</v>
      </c>
      <c r="L1608" s="35" t="str">
        <f>IFERROR(_xlfn.XLOOKUP(Table6[[#This Row],[Error Code]],'Basic Data'!$AA:$AA,'Basic Data'!$AB:$AB),"Incorrect Error Code")</f>
        <v>WTG shut down</v>
      </c>
      <c r="M1608" s="35" t="s">
        <v>291</v>
      </c>
      <c r="N1608" s="475"/>
      <c r="O1608" s="476">
        <v>0.56458333333333333</v>
      </c>
      <c r="P1608" s="476">
        <v>0.56458333333333333</v>
      </c>
      <c r="Q1608" s="477">
        <v>0.56944444444444442</v>
      </c>
      <c r="R1608" s="472">
        <f>IF(Table6[[#This Row],[Work Start TimeStamp]]="","",(Table6[[#This Row],[Work Start TimeStamp]]-Table6[[#This Row],[Fault Start TimeStamp]])*24)</f>
        <v>0</v>
      </c>
      <c r="S1608" s="472">
        <f>(Table6[[#This Row],[Fault Clearance time]]-Table6[[#This Row],[Work Start TimeStamp]])*24</f>
        <v>0.11666666666666625</v>
      </c>
      <c r="T1608" s="472">
        <f>(Table6[[#This Row],[Fault Clearance time]]-Table6[[#This Row],[Fault Start TimeStamp]])*24</f>
        <v>0.11666666666666625</v>
      </c>
      <c r="U1608" s="35" t="s">
        <v>2115</v>
      </c>
      <c r="V1608" s="102" t="s">
        <v>293</v>
      </c>
      <c r="W1608" s="549">
        <f>IFERROR(Table6[[#This Row],[Breakdown Time]]*Table6[[#This Row],[Plant Equivalent Weightage]],"")</f>
        <v>4.4871794871794695E-3</v>
      </c>
      <c r="X1608" s="473" t="s">
        <v>290</v>
      </c>
      <c r="Y1608" s="474" t="s">
        <v>99</v>
      </c>
      <c r="Z1608" s="102">
        <v>13413</v>
      </c>
      <c r="AA1608" s="468">
        <f>(Table6[[#This Row],[Paired WTG Generation for loss calculation]]/24)*Table6[[#This Row],[Breakdown Time]]</f>
        <v>65.202083333333107</v>
      </c>
      <c r="AB1608" s="102"/>
      <c r="AC1608" s="35"/>
      <c r="AD1608" s="35"/>
    </row>
    <row r="1609" spans="1:30">
      <c r="A1609" s="102">
        <f t="shared" si="25"/>
        <v>1608</v>
      </c>
      <c r="B1609" s="468">
        <f>YEAR(Table6[[#This Row],[Date]])+IF(MONTH(Table6[[#This Row],[Date]])&gt;=4,1,0)</f>
        <v>2026</v>
      </c>
      <c r="C1609" s="102">
        <f>YEAR(Table6[[#This Row],[Date]])</f>
        <v>2025</v>
      </c>
      <c r="D1609" s="102" t="s">
        <v>1992</v>
      </c>
      <c r="E1609" s="469">
        <f>Table6[[#This Row],[Date]]-DAY(Table6[[#This Row],[Date]])+1</f>
        <v>45839</v>
      </c>
      <c r="F1609" s="470">
        <v>45863</v>
      </c>
      <c r="G1609" s="35" t="s">
        <v>75</v>
      </c>
      <c r="H1609" s="35" t="str">
        <f>IFERROR(_xlfn.XLOOKUP(Table6[[#This Row],[Affected WTG]],'Basic Data'!$A:$A,'Basic Data'!$B:$B),"")</f>
        <v>TQGXIIPL</v>
      </c>
      <c r="I1609" s="35" t="str">
        <f>IFERROR(_xlfn.XLOOKUP(Table6[[#This Row],[Affected WTG]],'Basic Data'!$A:$A,'Basic Data'!$C:$C),"")</f>
        <v>GEDA</v>
      </c>
      <c r="J1609" s="471">
        <f>IFERROR(_xlfn.XLOOKUP(Table6[[#This Row],[Affected WTG]],'Basic Data'!$A:$A,'Basic Data'!$E:$E),"")</f>
        <v>3.846153846153845E-2</v>
      </c>
      <c r="K1609" s="102">
        <v>55</v>
      </c>
      <c r="L1609" s="35" t="str">
        <f>IFERROR(_xlfn.XLOOKUP(Table6[[#This Row],[Error Code]],'Basic Data'!$AA:$AA,'Basic Data'!$AB:$AB),"Incorrect Error Code")</f>
        <v>WTG shut down</v>
      </c>
      <c r="M1609" s="35" t="s">
        <v>291</v>
      </c>
      <c r="N1609" s="475"/>
      <c r="O1609" s="476">
        <v>0.47986111111111113</v>
      </c>
      <c r="P1609" s="476">
        <v>0.47986111111111113</v>
      </c>
      <c r="Q1609" s="477">
        <v>0.48333333333333334</v>
      </c>
      <c r="R1609" s="472">
        <f>IF(Table6[[#This Row],[Work Start TimeStamp]]="","",(Table6[[#This Row],[Work Start TimeStamp]]-Table6[[#This Row],[Fault Start TimeStamp]])*24)</f>
        <v>0</v>
      </c>
      <c r="S1609" s="472">
        <f>(Table6[[#This Row],[Fault Clearance time]]-Table6[[#This Row],[Work Start TimeStamp]])*24</f>
        <v>8.3333333333333037E-2</v>
      </c>
      <c r="T1609" s="472">
        <f>(Table6[[#This Row],[Fault Clearance time]]-Table6[[#This Row],[Fault Start TimeStamp]])*24</f>
        <v>8.3333333333333037E-2</v>
      </c>
      <c r="U1609" s="35" t="s">
        <v>2115</v>
      </c>
      <c r="V1609" s="102" t="s">
        <v>293</v>
      </c>
      <c r="W1609" s="549">
        <f>IFERROR(Table6[[#This Row],[Breakdown Time]]*Table6[[#This Row],[Plant Equivalent Weightage]],"")</f>
        <v>3.2051282051281929E-3</v>
      </c>
      <c r="X1609" s="473" t="s">
        <v>290</v>
      </c>
      <c r="Y1609" s="474" t="s">
        <v>78</v>
      </c>
      <c r="Z1609" s="102">
        <v>15744</v>
      </c>
      <c r="AA1609" s="468">
        <f>(Table6[[#This Row],[Paired WTG Generation for loss calculation]]/24)*Table6[[#This Row],[Breakdown Time]]</f>
        <v>54.666666666666472</v>
      </c>
      <c r="AB1609" s="102"/>
      <c r="AC1609" s="35"/>
      <c r="AD1609" s="35"/>
    </row>
    <row r="1610" spans="1:30">
      <c r="A1610" s="102">
        <f t="shared" si="25"/>
        <v>1609</v>
      </c>
      <c r="B1610" s="468">
        <f>YEAR(Table6[[#This Row],[Date]])+IF(MONTH(Table6[[#This Row],[Date]])&gt;=4,1,0)</f>
        <v>2026</v>
      </c>
      <c r="C1610" s="102">
        <f>YEAR(Table6[[#This Row],[Date]])</f>
        <v>2025</v>
      </c>
      <c r="D1610" s="102" t="s">
        <v>1992</v>
      </c>
      <c r="E1610" s="469">
        <f>Table6[[#This Row],[Date]]-DAY(Table6[[#This Row],[Date]])+1</f>
        <v>45839</v>
      </c>
      <c r="F1610" s="470">
        <v>45863</v>
      </c>
      <c r="G1610" s="35" t="s">
        <v>76</v>
      </c>
      <c r="H1610" s="35" t="str">
        <f>IFERROR(_xlfn.XLOOKUP(Table6[[#This Row],[Affected WTG]],'Basic Data'!$A:$A,'Basic Data'!$B:$B),"")</f>
        <v>TQGXIIPL</v>
      </c>
      <c r="I1610" s="35" t="str">
        <f>IFERROR(_xlfn.XLOOKUP(Table6[[#This Row],[Affected WTG]],'Basic Data'!$A:$A,'Basic Data'!$C:$C),"")</f>
        <v>GEDA</v>
      </c>
      <c r="J1610" s="471">
        <f>IFERROR(_xlfn.XLOOKUP(Table6[[#This Row],[Affected WTG]],'Basic Data'!$A:$A,'Basic Data'!$E:$E),"")</f>
        <v>3.846153846153845E-2</v>
      </c>
      <c r="K1610" s="102">
        <v>55</v>
      </c>
      <c r="L1610" s="35" t="str">
        <f>IFERROR(_xlfn.XLOOKUP(Table6[[#This Row],[Error Code]],'Basic Data'!$AA:$AA,'Basic Data'!$AB:$AB),"Incorrect Error Code")</f>
        <v>WTG shut down</v>
      </c>
      <c r="M1610" s="35" t="s">
        <v>291</v>
      </c>
      <c r="N1610" s="475"/>
      <c r="O1610" s="476">
        <v>0.48194444444444445</v>
      </c>
      <c r="P1610" s="476">
        <v>0.48194444444444445</v>
      </c>
      <c r="Q1610" s="477">
        <v>0.48541666666666666</v>
      </c>
      <c r="R1610" s="472">
        <f>IF(Table6[[#This Row],[Work Start TimeStamp]]="","",(Table6[[#This Row],[Work Start TimeStamp]]-Table6[[#This Row],[Fault Start TimeStamp]])*24)</f>
        <v>0</v>
      </c>
      <c r="S1610" s="472">
        <f>(Table6[[#This Row],[Fault Clearance time]]-Table6[[#This Row],[Work Start TimeStamp]])*24</f>
        <v>8.3333333333333037E-2</v>
      </c>
      <c r="T1610" s="472">
        <f>(Table6[[#This Row],[Fault Clearance time]]-Table6[[#This Row],[Fault Start TimeStamp]])*24</f>
        <v>8.3333333333333037E-2</v>
      </c>
      <c r="U1610" s="35" t="s">
        <v>2115</v>
      </c>
      <c r="V1610" s="102" t="s">
        <v>293</v>
      </c>
      <c r="W1610" s="549">
        <f>IFERROR(Table6[[#This Row],[Breakdown Time]]*Table6[[#This Row],[Plant Equivalent Weightage]],"")</f>
        <v>3.2051282051281929E-3</v>
      </c>
      <c r="X1610" s="473" t="s">
        <v>290</v>
      </c>
      <c r="Y1610" s="474" t="s">
        <v>82</v>
      </c>
      <c r="Z1610" s="102">
        <v>11688</v>
      </c>
      <c r="AA1610" s="468">
        <f>(Table6[[#This Row],[Paired WTG Generation for loss calculation]]/24)*Table6[[#This Row],[Breakdown Time]]</f>
        <v>40.583333333333186</v>
      </c>
      <c r="AB1610" s="102"/>
      <c r="AC1610" s="35"/>
      <c r="AD1610" s="35"/>
    </row>
    <row r="1611" spans="1:30">
      <c r="A1611" s="102">
        <f t="shared" si="25"/>
        <v>1610</v>
      </c>
      <c r="B1611" s="468">
        <f>YEAR(Table6[[#This Row],[Date]])+IF(MONTH(Table6[[#This Row],[Date]])&gt;=4,1,0)</f>
        <v>2026</v>
      </c>
      <c r="C1611" s="102">
        <f>YEAR(Table6[[#This Row],[Date]])</f>
        <v>2025</v>
      </c>
      <c r="D1611" s="102" t="s">
        <v>1992</v>
      </c>
      <c r="E1611" s="469">
        <f>Table6[[#This Row],[Date]]-DAY(Table6[[#This Row],[Date]])+1</f>
        <v>45839</v>
      </c>
      <c r="F1611" s="470">
        <v>45863</v>
      </c>
      <c r="G1611" s="35" t="s">
        <v>79</v>
      </c>
      <c r="H1611" s="35" t="str">
        <f>IFERROR(_xlfn.XLOOKUP(Table6[[#This Row],[Affected WTG]],'Basic Data'!$A:$A,'Basic Data'!$B:$B),"")</f>
        <v>TQGXIIPL</v>
      </c>
      <c r="I1611" s="35" t="str">
        <f>IFERROR(_xlfn.XLOOKUP(Table6[[#This Row],[Affected WTG]],'Basic Data'!$A:$A,'Basic Data'!$C:$C),"")</f>
        <v>GEDA</v>
      </c>
      <c r="J1611" s="471">
        <f>IFERROR(_xlfn.XLOOKUP(Table6[[#This Row],[Affected WTG]],'Basic Data'!$A:$A,'Basic Data'!$E:$E),"")</f>
        <v>3.846153846153845E-2</v>
      </c>
      <c r="K1611" s="102">
        <v>55</v>
      </c>
      <c r="L1611" s="35" t="str">
        <f>IFERROR(_xlfn.XLOOKUP(Table6[[#This Row],[Error Code]],'Basic Data'!$AA:$AA,'Basic Data'!$AB:$AB),"Incorrect Error Code")</f>
        <v>WTG shut down</v>
      </c>
      <c r="M1611" s="35" t="s">
        <v>291</v>
      </c>
      <c r="N1611" s="475"/>
      <c r="O1611" s="476">
        <v>0.51875000000000004</v>
      </c>
      <c r="P1611" s="476">
        <v>0.51875000000000004</v>
      </c>
      <c r="Q1611" s="477">
        <v>0.52361111111111114</v>
      </c>
      <c r="R1611" s="472">
        <f>IF(Table6[[#This Row],[Work Start TimeStamp]]="","",(Table6[[#This Row],[Work Start TimeStamp]]-Table6[[#This Row],[Fault Start TimeStamp]])*24)</f>
        <v>0</v>
      </c>
      <c r="S1611" s="472">
        <f>(Table6[[#This Row],[Fault Clearance time]]-Table6[[#This Row],[Work Start TimeStamp]])*24</f>
        <v>0.11666666666666625</v>
      </c>
      <c r="T1611" s="472">
        <f>(Table6[[#This Row],[Fault Clearance time]]-Table6[[#This Row],[Fault Start TimeStamp]])*24</f>
        <v>0.11666666666666625</v>
      </c>
      <c r="U1611" s="35" t="s">
        <v>2115</v>
      </c>
      <c r="V1611" s="102" t="s">
        <v>293</v>
      </c>
      <c r="W1611" s="549">
        <f>IFERROR(Table6[[#This Row],[Breakdown Time]]*Table6[[#This Row],[Plant Equivalent Weightage]],"")</f>
        <v>4.4871794871794695E-3</v>
      </c>
      <c r="X1611" s="473" t="s">
        <v>290</v>
      </c>
      <c r="Y1611" s="474" t="s">
        <v>94</v>
      </c>
      <c r="Z1611" s="102">
        <v>17684</v>
      </c>
      <c r="AA1611" s="468">
        <f>(Table6[[#This Row],[Paired WTG Generation for loss calculation]]/24)*Table6[[#This Row],[Breakdown Time]]</f>
        <v>85.96388888888859</v>
      </c>
      <c r="AB1611" s="102"/>
      <c r="AC1611" s="35"/>
      <c r="AD1611" s="35"/>
    </row>
    <row r="1612" spans="1:30">
      <c r="A1612" s="102">
        <f t="shared" si="25"/>
        <v>1611</v>
      </c>
      <c r="B1612" s="468">
        <f>YEAR(Table6[[#This Row],[Date]])+IF(MONTH(Table6[[#This Row],[Date]])&gt;=4,1,0)</f>
        <v>2026</v>
      </c>
      <c r="C1612" s="102">
        <f>YEAR(Table6[[#This Row],[Date]])</f>
        <v>2025</v>
      </c>
      <c r="D1612" s="102" t="s">
        <v>1992</v>
      </c>
      <c r="E1612" s="469">
        <f>Table6[[#This Row],[Date]]-DAY(Table6[[#This Row],[Date]])+1</f>
        <v>45839</v>
      </c>
      <c r="F1612" s="470">
        <v>45863</v>
      </c>
      <c r="G1612" s="35" t="s">
        <v>80</v>
      </c>
      <c r="H1612" s="35" t="str">
        <f>IFERROR(_xlfn.XLOOKUP(Table6[[#This Row],[Affected WTG]],'Basic Data'!$A:$A,'Basic Data'!$B:$B),"")</f>
        <v>TQGXIIPL</v>
      </c>
      <c r="I1612" s="35" t="str">
        <f>IFERROR(_xlfn.XLOOKUP(Table6[[#This Row],[Affected WTG]],'Basic Data'!$A:$A,'Basic Data'!$C:$C),"")</f>
        <v>GEDA</v>
      </c>
      <c r="J1612" s="471">
        <f>IFERROR(_xlfn.XLOOKUP(Table6[[#This Row],[Affected WTG]],'Basic Data'!$A:$A,'Basic Data'!$E:$E),"")</f>
        <v>3.846153846153845E-2</v>
      </c>
      <c r="K1612" s="102">
        <v>55</v>
      </c>
      <c r="L1612" s="35" t="str">
        <f>IFERROR(_xlfn.XLOOKUP(Table6[[#This Row],[Error Code]],'Basic Data'!$AA:$AA,'Basic Data'!$AB:$AB),"Incorrect Error Code")</f>
        <v>WTG shut down</v>
      </c>
      <c r="M1612" s="35" t="s">
        <v>291</v>
      </c>
      <c r="N1612" s="475"/>
      <c r="O1612" s="476">
        <v>0.42777777777777776</v>
      </c>
      <c r="P1612" s="476">
        <v>0.42777777777777776</v>
      </c>
      <c r="Q1612" s="477">
        <v>0.43055555555555558</v>
      </c>
      <c r="R1612" s="472">
        <f>IF(Table6[[#This Row],[Work Start TimeStamp]]="","",(Table6[[#This Row],[Work Start TimeStamp]]-Table6[[#This Row],[Fault Start TimeStamp]])*24)</f>
        <v>0</v>
      </c>
      <c r="S1612" s="472">
        <f>(Table6[[#This Row],[Fault Clearance time]]-Table6[[#This Row],[Work Start TimeStamp]])*24</f>
        <v>6.6666666666667762E-2</v>
      </c>
      <c r="T1612" s="472">
        <f>(Table6[[#This Row],[Fault Clearance time]]-Table6[[#This Row],[Fault Start TimeStamp]])*24</f>
        <v>6.6666666666667762E-2</v>
      </c>
      <c r="U1612" s="35" t="s">
        <v>2115</v>
      </c>
      <c r="V1612" s="102" t="s">
        <v>293</v>
      </c>
      <c r="W1612" s="549">
        <f>IFERROR(Table6[[#This Row],[Breakdown Time]]*Table6[[#This Row],[Plant Equivalent Weightage]],"")</f>
        <v>2.5641025641026053E-3</v>
      </c>
      <c r="X1612" s="473" t="s">
        <v>290</v>
      </c>
      <c r="Y1612" s="474" t="s">
        <v>77</v>
      </c>
      <c r="Z1612" s="102">
        <v>15084</v>
      </c>
      <c r="AA1612" s="468">
        <f>(Table6[[#This Row],[Paired WTG Generation for loss calculation]]/24)*Table6[[#This Row],[Breakdown Time]]</f>
        <v>41.900000000000688</v>
      </c>
      <c r="AB1612" s="102"/>
      <c r="AC1612" s="35"/>
      <c r="AD1612" s="35"/>
    </row>
    <row r="1613" spans="1:30">
      <c r="A1613" s="102">
        <f t="shared" si="25"/>
        <v>1612</v>
      </c>
      <c r="B1613" s="468">
        <f>YEAR(Table6[[#This Row],[Date]])+IF(MONTH(Table6[[#This Row],[Date]])&gt;=4,1,0)</f>
        <v>2026</v>
      </c>
      <c r="C1613" s="102">
        <f>YEAR(Table6[[#This Row],[Date]])</f>
        <v>2025</v>
      </c>
      <c r="D1613" s="102" t="s">
        <v>1992</v>
      </c>
      <c r="E1613" s="469">
        <f>Table6[[#This Row],[Date]]-DAY(Table6[[#This Row],[Date]])+1</f>
        <v>45839</v>
      </c>
      <c r="F1613" s="470">
        <v>45863</v>
      </c>
      <c r="G1613" s="35" t="s">
        <v>81</v>
      </c>
      <c r="H1613" s="35" t="str">
        <f>IFERROR(_xlfn.XLOOKUP(Table6[[#This Row],[Affected WTG]],'Basic Data'!$A:$A,'Basic Data'!$B:$B),"")</f>
        <v>TQGXIIPL</v>
      </c>
      <c r="I1613" s="35" t="str">
        <f>IFERROR(_xlfn.XLOOKUP(Table6[[#This Row],[Affected WTG]],'Basic Data'!$A:$A,'Basic Data'!$C:$C),"")</f>
        <v>GEDA</v>
      </c>
      <c r="J1613" s="471">
        <f>IFERROR(_xlfn.XLOOKUP(Table6[[#This Row],[Affected WTG]],'Basic Data'!$A:$A,'Basic Data'!$E:$E),"")</f>
        <v>3.846153846153845E-2</v>
      </c>
      <c r="K1613" s="102">
        <v>55</v>
      </c>
      <c r="L1613" s="35" t="str">
        <f>IFERROR(_xlfn.XLOOKUP(Table6[[#This Row],[Error Code]],'Basic Data'!$AA:$AA,'Basic Data'!$AB:$AB),"Incorrect Error Code")</f>
        <v>WTG shut down</v>
      </c>
      <c r="M1613" s="35" t="s">
        <v>291</v>
      </c>
      <c r="N1613" s="475"/>
      <c r="O1613" s="476">
        <v>0.55138888888888893</v>
      </c>
      <c r="P1613" s="476">
        <v>0.55138888888888893</v>
      </c>
      <c r="Q1613" s="477">
        <v>0.55486111111111114</v>
      </c>
      <c r="R1613" s="472">
        <f>IF(Table6[[#This Row],[Work Start TimeStamp]]="","",(Table6[[#This Row],[Work Start TimeStamp]]-Table6[[#This Row],[Fault Start TimeStamp]])*24)</f>
        <v>0</v>
      </c>
      <c r="S1613" s="472">
        <f>(Table6[[#This Row],[Fault Clearance time]]-Table6[[#This Row],[Work Start TimeStamp]])*24</f>
        <v>8.3333333333333037E-2</v>
      </c>
      <c r="T1613" s="472">
        <f>(Table6[[#This Row],[Fault Clearance time]]-Table6[[#This Row],[Fault Start TimeStamp]])*24</f>
        <v>8.3333333333333037E-2</v>
      </c>
      <c r="U1613" s="35" t="s">
        <v>2115</v>
      </c>
      <c r="V1613" s="102" t="s">
        <v>293</v>
      </c>
      <c r="W1613" s="549">
        <f>IFERROR(Table6[[#This Row],[Breakdown Time]]*Table6[[#This Row],[Plant Equivalent Weightage]],"")</f>
        <v>3.2051282051281929E-3</v>
      </c>
      <c r="X1613" s="473" t="s">
        <v>290</v>
      </c>
      <c r="Y1613" s="474" t="s">
        <v>99</v>
      </c>
      <c r="Z1613" s="102">
        <v>13413</v>
      </c>
      <c r="AA1613" s="468">
        <f>(Table6[[#This Row],[Paired WTG Generation for loss calculation]]/24)*Table6[[#This Row],[Breakdown Time]]</f>
        <v>46.572916666666501</v>
      </c>
      <c r="AB1613" s="102"/>
      <c r="AC1613" s="35"/>
      <c r="AD1613" s="35"/>
    </row>
    <row r="1614" spans="1:30">
      <c r="A1614" s="102">
        <f t="shared" si="25"/>
        <v>1613</v>
      </c>
      <c r="B1614" s="468">
        <f>YEAR(Table6[[#This Row],[Date]])+IF(MONTH(Table6[[#This Row],[Date]])&gt;=4,1,0)</f>
        <v>2026</v>
      </c>
      <c r="C1614" s="102">
        <f>YEAR(Table6[[#This Row],[Date]])</f>
        <v>2025</v>
      </c>
      <c r="D1614" s="102" t="s">
        <v>1992</v>
      </c>
      <c r="E1614" s="469">
        <f>Table6[[#This Row],[Date]]-DAY(Table6[[#This Row],[Date]])+1</f>
        <v>45839</v>
      </c>
      <c r="F1614" s="470">
        <v>45863</v>
      </c>
      <c r="G1614" s="35" t="s">
        <v>83</v>
      </c>
      <c r="H1614" s="35" t="str">
        <f>IFERROR(_xlfn.XLOOKUP(Table6[[#This Row],[Affected WTG]],'Basic Data'!$A:$A,'Basic Data'!$B:$B),"")</f>
        <v>TQGXIIPL</v>
      </c>
      <c r="I1614" s="35" t="str">
        <f>IFERROR(_xlfn.XLOOKUP(Table6[[#This Row],[Affected WTG]],'Basic Data'!$A:$A,'Basic Data'!$C:$C),"")</f>
        <v>GEDA</v>
      </c>
      <c r="J1614" s="471">
        <f>IFERROR(_xlfn.XLOOKUP(Table6[[#This Row],[Affected WTG]],'Basic Data'!$A:$A,'Basic Data'!$E:$E),"")</f>
        <v>3.846153846153845E-2</v>
      </c>
      <c r="K1614" s="102">
        <v>55</v>
      </c>
      <c r="L1614" s="35" t="str">
        <f>IFERROR(_xlfn.XLOOKUP(Table6[[#This Row],[Error Code]],'Basic Data'!$AA:$AA,'Basic Data'!$AB:$AB),"Incorrect Error Code")</f>
        <v>WTG shut down</v>
      </c>
      <c r="M1614" s="35" t="s">
        <v>291</v>
      </c>
      <c r="N1614" s="475"/>
      <c r="O1614" s="476">
        <v>0.43611111111111112</v>
      </c>
      <c r="P1614" s="476">
        <v>0.43611111111111112</v>
      </c>
      <c r="Q1614" s="477">
        <v>0.43958333333333333</v>
      </c>
      <c r="R1614" s="472">
        <f>IF(Table6[[#This Row],[Work Start TimeStamp]]="","",(Table6[[#This Row],[Work Start TimeStamp]]-Table6[[#This Row],[Fault Start TimeStamp]])*24)</f>
        <v>0</v>
      </c>
      <c r="S1614" s="472">
        <f>(Table6[[#This Row],[Fault Clearance time]]-Table6[[#This Row],[Work Start TimeStamp]])*24</f>
        <v>8.3333333333333037E-2</v>
      </c>
      <c r="T1614" s="472">
        <f>(Table6[[#This Row],[Fault Clearance time]]-Table6[[#This Row],[Fault Start TimeStamp]])*24</f>
        <v>8.3333333333333037E-2</v>
      </c>
      <c r="U1614" s="35" t="s">
        <v>2115</v>
      </c>
      <c r="V1614" s="102" t="s">
        <v>293</v>
      </c>
      <c r="W1614" s="549">
        <f>IFERROR(Table6[[#This Row],[Breakdown Time]]*Table6[[#This Row],[Plant Equivalent Weightage]],"")</f>
        <v>3.2051282051281929E-3</v>
      </c>
      <c r="X1614" s="473" t="s">
        <v>290</v>
      </c>
      <c r="Y1614" s="474" t="s">
        <v>88</v>
      </c>
      <c r="Z1614" s="102">
        <v>12269</v>
      </c>
      <c r="AA1614" s="468">
        <f>(Table6[[#This Row],[Paired WTG Generation for loss calculation]]/24)*Table6[[#This Row],[Breakdown Time]]</f>
        <v>42.600694444444294</v>
      </c>
      <c r="AB1614" s="102"/>
      <c r="AC1614" s="35"/>
      <c r="AD1614" s="35"/>
    </row>
    <row r="1615" spans="1:30">
      <c r="A1615" s="102">
        <f t="shared" ref="A1615:A1624" si="26">A1614+1</f>
        <v>1614</v>
      </c>
      <c r="B1615" s="468">
        <f>YEAR(Table6[[#This Row],[Date]])+IF(MONTH(Table6[[#This Row],[Date]])&gt;=4,1,0)</f>
        <v>2026</v>
      </c>
      <c r="C1615" s="102">
        <f>YEAR(Table6[[#This Row],[Date]])</f>
        <v>2025</v>
      </c>
      <c r="D1615" s="102" t="s">
        <v>1992</v>
      </c>
      <c r="E1615" s="469">
        <f>Table6[[#This Row],[Date]]-DAY(Table6[[#This Row],[Date]])+1</f>
        <v>45839</v>
      </c>
      <c r="F1615" s="470">
        <v>45863</v>
      </c>
      <c r="G1615" s="35" t="s">
        <v>85</v>
      </c>
      <c r="H1615" s="35" t="str">
        <f>IFERROR(_xlfn.XLOOKUP(Table6[[#This Row],[Affected WTG]],'Basic Data'!$A:$A,'Basic Data'!$B:$B),"")</f>
        <v>TQGXIIPL</v>
      </c>
      <c r="I1615" s="35" t="str">
        <f>IFERROR(_xlfn.XLOOKUP(Table6[[#This Row],[Affected WTG]],'Basic Data'!$A:$A,'Basic Data'!$C:$C),"")</f>
        <v>GEDA</v>
      </c>
      <c r="J1615" s="471">
        <f>IFERROR(_xlfn.XLOOKUP(Table6[[#This Row],[Affected WTG]],'Basic Data'!$A:$A,'Basic Data'!$E:$E),"")</f>
        <v>3.846153846153845E-2</v>
      </c>
      <c r="K1615" s="102">
        <v>55</v>
      </c>
      <c r="L1615" s="35" t="str">
        <f>IFERROR(_xlfn.XLOOKUP(Table6[[#This Row],[Error Code]],'Basic Data'!$AA:$AA,'Basic Data'!$AB:$AB),"Incorrect Error Code")</f>
        <v>WTG shut down</v>
      </c>
      <c r="M1615" s="35" t="s">
        <v>291</v>
      </c>
      <c r="N1615" s="475"/>
      <c r="O1615" s="476">
        <v>0.60277777777777775</v>
      </c>
      <c r="P1615" s="476">
        <v>0.60277777777777775</v>
      </c>
      <c r="Q1615" s="477">
        <v>0.60624999999999996</v>
      </c>
      <c r="R1615" s="472">
        <f>IF(Table6[[#This Row],[Work Start TimeStamp]]="","",(Table6[[#This Row],[Work Start TimeStamp]]-Table6[[#This Row],[Fault Start TimeStamp]])*24)</f>
        <v>0</v>
      </c>
      <c r="S1615" s="472">
        <f>(Table6[[#This Row],[Fault Clearance time]]-Table6[[#This Row],[Work Start TimeStamp]])*24</f>
        <v>8.3333333333333037E-2</v>
      </c>
      <c r="T1615" s="472">
        <f>(Table6[[#This Row],[Fault Clearance time]]-Table6[[#This Row],[Fault Start TimeStamp]])*24</f>
        <v>8.3333333333333037E-2</v>
      </c>
      <c r="U1615" s="35" t="s">
        <v>2115</v>
      </c>
      <c r="V1615" s="102" t="s">
        <v>293</v>
      </c>
      <c r="W1615" s="549">
        <f>IFERROR(Table6[[#This Row],[Breakdown Time]]*Table6[[#This Row],[Plant Equivalent Weightage]],"")</f>
        <v>3.2051282051281929E-3</v>
      </c>
      <c r="X1615" s="473" t="s">
        <v>290</v>
      </c>
      <c r="Y1615" s="474" t="s">
        <v>87</v>
      </c>
      <c r="Z1615" s="102">
        <v>13386</v>
      </c>
      <c r="AA1615" s="468">
        <f>(Table6[[#This Row],[Paired WTG Generation for loss calculation]]/24)*Table6[[#This Row],[Breakdown Time]]</f>
        <v>46.479166666666501</v>
      </c>
      <c r="AB1615" s="102"/>
      <c r="AC1615" s="35"/>
      <c r="AD1615" s="35"/>
    </row>
    <row r="1616" spans="1:30">
      <c r="A1616" s="102">
        <f t="shared" si="26"/>
        <v>1615</v>
      </c>
      <c r="B1616" s="468">
        <f>YEAR(Table6[[#This Row],[Date]])+IF(MONTH(Table6[[#This Row],[Date]])&gt;=4,1,0)</f>
        <v>2026</v>
      </c>
      <c r="C1616" s="102">
        <f>YEAR(Table6[[#This Row],[Date]])</f>
        <v>2025</v>
      </c>
      <c r="D1616" s="102" t="s">
        <v>1992</v>
      </c>
      <c r="E1616" s="469">
        <f>Table6[[#This Row],[Date]]-DAY(Table6[[#This Row],[Date]])+1</f>
        <v>45839</v>
      </c>
      <c r="F1616" s="470">
        <v>45863</v>
      </c>
      <c r="G1616" s="35" t="s">
        <v>87</v>
      </c>
      <c r="H1616" s="35" t="str">
        <f>IFERROR(_xlfn.XLOOKUP(Table6[[#This Row],[Affected WTG]],'Basic Data'!$A:$A,'Basic Data'!$B:$B),"")</f>
        <v>TQGXIIPL</v>
      </c>
      <c r="I1616" s="35" t="str">
        <f>IFERROR(_xlfn.XLOOKUP(Table6[[#This Row],[Affected WTG]],'Basic Data'!$A:$A,'Basic Data'!$C:$C),"")</f>
        <v>GEDA</v>
      </c>
      <c r="J1616" s="471">
        <f>IFERROR(_xlfn.XLOOKUP(Table6[[#This Row],[Affected WTG]],'Basic Data'!$A:$A,'Basic Data'!$E:$E),"")</f>
        <v>3.846153846153845E-2</v>
      </c>
      <c r="K1616" s="102">
        <v>55</v>
      </c>
      <c r="L1616" s="35" t="str">
        <f>IFERROR(_xlfn.XLOOKUP(Table6[[#This Row],[Error Code]],'Basic Data'!$AA:$AA,'Basic Data'!$AB:$AB),"Incorrect Error Code")</f>
        <v>WTG shut down</v>
      </c>
      <c r="M1616" s="35" t="s">
        <v>291</v>
      </c>
      <c r="N1616" s="475"/>
      <c r="O1616" s="476">
        <v>0.47083333333333333</v>
      </c>
      <c r="P1616" s="476">
        <v>0.47083333333333333</v>
      </c>
      <c r="Q1616" s="477">
        <v>0.47430555555555554</v>
      </c>
      <c r="R1616" s="472">
        <f>IF(Table6[[#This Row],[Work Start TimeStamp]]="","",(Table6[[#This Row],[Work Start TimeStamp]]-Table6[[#This Row],[Fault Start TimeStamp]])*24)</f>
        <v>0</v>
      </c>
      <c r="S1616" s="472">
        <f>(Table6[[#This Row],[Fault Clearance time]]-Table6[[#This Row],[Work Start TimeStamp]])*24</f>
        <v>8.3333333333333037E-2</v>
      </c>
      <c r="T1616" s="472">
        <f>(Table6[[#This Row],[Fault Clearance time]]-Table6[[#This Row],[Fault Start TimeStamp]])*24</f>
        <v>8.3333333333333037E-2</v>
      </c>
      <c r="U1616" s="35" t="s">
        <v>2115</v>
      </c>
      <c r="V1616" s="102" t="s">
        <v>293</v>
      </c>
      <c r="W1616" s="549">
        <f>IFERROR(Table6[[#This Row],[Breakdown Time]]*Table6[[#This Row],[Plant Equivalent Weightage]],"")</f>
        <v>3.2051282051281929E-3</v>
      </c>
      <c r="X1616" s="473" t="s">
        <v>290</v>
      </c>
      <c r="Y1616" s="474" t="s">
        <v>85</v>
      </c>
      <c r="Z1616" s="102">
        <v>13718</v>
      </c>
      <c r="AA1616" s="468">
        <f>(Table6[[#This Row],[Paired WTG Generation for loss calculation]]/24)*Table6[[#This Row],[Breakdown Time]]</f>
        <v>47.631944444444279</v>
      </c>
      <c r="AB1616" s="102"/>
      <c r="AC1616" s="35"/>
      <c r="AD1616" s="35"/>
    </row>
    <row r="1617" spans="1:30">
      <c r="A1617" s="102">
        <f t="shared" si="26"/>
        <v>1616</v>
      </c>
      <c r="B1617" s="468">
        <f>YEAR(Table6[[#This Row],[Date]])+IF(MONTH(Table6[[#This Row],[Date]])&gt;=4,1,0)</f>
        <v>2026</v>
      </c>
      <c r="C1617" s="102">
        <f>YEAR(Table6[[#This Row],[Date]])</f>
        <v>2025</v>
      </c>
      <c r="D1617" s="102" t="s">
        <v>1992</v>
      </c>
      <c r="E1617" s="469">
        <f>Table6[[#This Row],[Date]]-DAY(Table6[[#This Row],[Date]])+1</f>
        <v>45839</v>
      </c>
      <c r="F1617" s="470">
        <v>45863</v>
      </c>
      <c r="G1617" s="35" t="s">
        <v>89</v>
      </c>
      <c r="H1617" s="35" t="str">
        <f>IFERROR(_xlfn.XLOOKUP(Table6[[#This Row],[Affected WTG]],'Basic Data'!$A:$A,'Basic Data'!$B:$B),"")</f>
        <v>TQGXIIPL</v>
      </c>
      <c r="I1617" s="35" t="str">
        <f>IFERROR(_xlfn.XLOOKUP(Table6[[#This Row],[Affected WTG]],'Basic Data'!$A:$A,'Basic Data'!$C:$C),"")</f>
        <v>GEDA</v>
      </c>
      <c r="J1617" s="471">
        <f>IFERROR(_xlfn.XLOOKUP(Table6[[#This Row],[Affected WTG]],'Basic Data'!$A:$A,'Basic Data'!$E:$E),"")</f>
        <v>3.846153846153845E-2</v>
      </c>
      <c r="K1617" s="102">
        <v>55</v>
      </c>
      <c r="L1617" s="35" t="str">
        <f>IFERROR(_xlfn.XLOOKUP(Table6[[#This Row],[Error Code]],'Basic Data'!$AA:$AA,'Basic Data'!$AB:$AB),"Incorrect Error Code")</f>
        <v>WTG shut down</v>
      </c>
      <c r="M1617" s="35" t="s">
        <v>291</v>
      </c>
      <c r="N1617" s="475"/>
      <c r="O1617" s="476">
        <v>0.47569444444444442</v>
      </c>
      <c r="P1617" s="476">
        <v>0.47569444444444442</v>
      </c>
      <c r="Q1617" s="477">
        <v>0.47847222222222224</v>
      </c>
      <c r="R1617" s="472">
        <f>IF(Table6[[#This Row],[Work Start TimeStamp]]="","",(Table6[[#This Row],[Work Start TimeStamp]]-Table6[[#This Row],[Fault Start TimeStamp]])*24)</f>
        <v>0</v>
      </c>
      <c r="S1617" s="472">
        <f>(Table6[[#This Row],[Fault Clearance time]]-Table6[[#This Row],[Work Start TimeStamp]])*24</f>
        <v>6.6666666666667762E-2</v>
      </c>
      <c r="T1617" s="472">
        <f>(Table6[[#This Row],[Fault Clearance time]]-Table6[[#This Row],[Fault Start TimeStamp]])*24</f>
        <v>6.6666666666667762E-2</v>
      </c>
      <c r="U1617" s="35" t="s">
        <v>2115</v>
      </c>
      <c r="V1617" s="102" t="s">
        <v>293</v>
      </c>
      <c r="W1617" s="549">
        <f>IFERROR(Table6[[#This Row],[Breakdown Time]]*Table6[[#This Row],[Plant Equivalent Weightage]],"")</f>
        <v>2.5641025641026053E-3</v>
      </c>
      <c r="X1617" s="473" t="s">
        <v>290</v>
      </c>
      <c r="Y1617" s="474" t="s">
        <v>94</v>
      </c>
      <c r="Z1617" s="102">
        <v>17684</v>
      </c>
      <c r="AA1617" s="468">
        <f>(Table6[[#This Row],[Paired WTG Generation for loss calculation]]/24)*Table6[[#This Row],[Breakdown Time]]</f>
        <v>49.12222222222303</v>
      </c>
      <c r="AB1617" s="102"/>
      <c r="AC1617" s="35"/>
      <c r="AD1617" s="35"/>
    </row>
    <row r="1618" spans="1:30">
      <c r="A1618" s="102">
        <f t="shared" si="26"/>
        <v>1617</v>
      </c>
      <c r="B1618" s="468">
        <f>YEAR(Table6[[#This Row],[Date]])+IF(MONTH(Table6[[#This Row],[Date]])&gt;=4,1,0)</f>
        <v>2026</v>
      </c>
      <c r="C1618" s="102">
        <f>YEAR(Table6[[#This Row],[Date]])</f>
        <v>2025</v>
      </c>
      <c r="D1618" s="102" t="s">
        <v>1992</v>
      </c>
      <c r="E1618" s="469">
        <f>Table6[[#This Row],[Date]]-DAY(Table6[[#This Row],[Date]])+1</f>
        <v>45839</v>
      </c>
      <c r="F1618" s="470">
        <v>45863</v>
      </c>
      <c r="G1618" s="35" t="s">
        <v>93</v>
      </c>
      <c r="H1618" s="35" t="str">
        <f>IFERROR(_xlfn.XLOOKUP(Table6[[#This Row],[Affected WTG]],'Basic Data'!$A:$A,'Basic Data'!$B:$B),"")</f>
        <v>TQGXIIPL</v>
      </c>
      <c r="I1618" s="35" t="str">
        <f>IFERROR(_xlfn.XLOOKUP(Table6[[#This Row],[Affected WTG]],'Basic Data'!$A:$A,'Basic Data'!$C:$C),"")</f>
        <v>GEDA</v>
      </c>
      <c r="J1618" s="471">
        <f>IFERROR(_xlfn.XLOOKUP(Table6[[#This Row],[Affected WTG]],'Basic Data'!$A:$A,'Basic Data'!$E:$E),"")</f>
        <v>3.846153846153845E-2</v>
      </c>
      <c r="K1618" s="102">
        <v>55</v>
      </c>
      <c r="L1618" s="35" t="str">
        <f>IFERROR(_xlfn.XLOOKUP(Table6[[#This Row],[Error Code]],'Basic Data'!$AA:$AA,'Basic Data'!$AB:$AB),"Incorrect Error Code")</f>
        <v>WTG shut down</v>
      </c>
      <c r="M1618" s="35" t="s">
        <v>291</v>
      </c>
      <c r="N1618" s="475"/>
      <c r="O1618" s="476">
        <v>0.49652777777777779</v>
      </c>
      <c r="P1618" s="476">
        <v>0.49652777777777779</v>
      </c>
      <c r="Q1618" s="477">
        <v>0.50624999999999998</v>
      </c>
      <c r="R1618" s="472">
        <f>IF(Table6[[#This Row],[Work Start TimeStamp]]="","",(Table6[[#This Row],[Work Start TimeStamp]]-Table6[[#This Row],[Fault Start TimeStamp]])*24)</f>
        <v>0</v>
      </c>
      <c r="S1618" s="472">
        <f>(Table6[[#This Row],[Fault Clearance time]]-Table6[[#This Row],[Work Start TimeStamp]])*24</f>
        <v>0.2333333333333325</v>
      </c>
      <c r="T1618" s="472">
        <f>(Table6[[#This Row],[Fault Clearance time]]-Table6[[#This Row],[Fault Start TimeStamp]])*24</f>
        <v>0.2333333333333325</v>
      </c>
      <c r="U1618" s="35" t="s">
        <v>2115</v>
      </c>
      <c r="V1618" s="102" t="s">
        <v>293</v>
      </c>
      <c r="W1618" s="549">
        <f>IFERROR(Table6[[#This Row],[Breakdown Time]]*Table6[[#This Row],[Plant Equivalent Weightage]],"")</f>
        <v>8.974358974358939E-3</v>
      </c>
      <c r="X1618" s="473" t="s">
        <v>290</v>
      </c>
      <c r="Y1618" s="474" t="s">
        <v>97</v>
      </c>
      <c r="Z1618" s="102">
        <v>15668</v>
      </c>
      <c r="AA1618" s="468">
        <f>(Table6[[#This Row],[Paired WTG Generation for loss calculation]]/24)*Table6[[#This Row],[Breakdown Time]]</f>
        <v>152.32777777777724</v>
      </c>
      <c r="AB1618" s="102"/>
      <c r="AC1618" s="35"/>
      <c r="AD1618" s="35"/>
    </row>
    <row r="1619" spans="1:30">
      <c r="A1619" s="102">
        <f t="shared" si="26"/>
        <v>1618</v>
      </c>
      <c r="B1619" s="468">
        <f>YEAR(Table6[[#This Row],[Date]])+IF(MONTH(Table6[[#This Row],[Date]])&gt;=4,1,0)</f>
        <v>2026</v>
      </c>
      <c r="C1619" s="102">
        <f>YEAR(Table6[[#This Row],[Date]])</f>
        <v>2025</v>
      </c>
      <c r="D1619" s="102" t="s">
        <v>1992</v>
      </c>
      <c r="E1619" s="469">
        <f>Table6[[#This Row],[Date]]-DAY(Table6[[#This Row],[Date]])+1</f>
        <v>45839</v>
      </c>
      <c r="F1619" s="470">
        <v>45863</v>
      </c>
      <c r="G1619" s="35" t="s">
        <v>94</v>
      </c>
      <c r="H1619" s="35" t="str">
        <f>IFERROR(_xlfn.XLOOKUP(Table6[[#This Row],[Affected WTG]],'Basic Data'!$A:$A,'Basic Data'!$B:$B),"")</f>
        <v>TQGXIIPL</v>
      </c>
      <c r="I1619" s="35" t="str">
        <f>IFERROR(_xlfn.XLOOKUP(Table6[[#This Row],[Affected WTG]],'Basic Data'!$A:$A,'Basic Data'!$C:$C),"")</f>
        <v>GEDA</v>
      </c>
      <c r="J1619" s="471">
        <f>IFERROR(_xlfn.XLOOKUP(Table6[[#This Row],[Affected WTG]],'Basic Data'!$A:$A,'Basic Data'!$E:$E),"")</f>
        <v>3.846153846153845E-2</v>
      </c>
      <c r="K1619" s="102">
        <v>55</v>
      </c>
      <c r="L1619" s="35" t="str">
        <f>IFERROR(_xlfn.XLOOKUP(Table6[[#This Row],[Error Code]],'Basic Data'!$AA:$AA,'Basic Data'!$AB:$AB),"Incorrect Error Code")</f>
        <v>WTG shut down</v>
      </c>
      <c r="M1619" s="35" t="s">
        <v>291</v>
      </c>
      <c r="N1619" s="475"/>
      <c r="O1619" s="476">
        <v>0.63124999999999998</v>
      </c>
      <c r="P1619" s="476">
        <v>0.63124999999999998</v>
      </c>
      <c r="Q1619" s="477">
        <v>0.63541666666666663</v>
      </c>
      <c r="R1619" s="472">
        <f>IF(Table6[[#This Row],[Work Start TimeStamp]]="","",(Table6[[#This Row],[Work Start TimeStamp]]-Table6[[#This Row],[Fault Start TimeStamp]])*24)</f>
        <v>0</v>
      </c>
      <c r="S1619" s="472">
        <f>(Table6[[#This Row],[Fault Clearance time]]-Table6[[#This Row],[Work Start TimeStamp]])*24</f>
        <v>9.9999999999999645E-2</v>
      </c>
      <c r="T1619" s="472">
        <f>(Table6[[#This Row],[Fault Clearance time]]-Table6[[#This Row],[Fault Start TimeStamp]])*24</f>
        <v>9.9999999999999645E-2</v>
      </c>
      <c r="U1619" s="35" t="s">
        <v>2115</v>
      </c>
      <c r="V1619" s="102" t="s">
        <v>293</v>
      </c>
      <c r="W1619" s="549">
        <f>IFERROR(Table6[[#This Row],[Breakdown Time]]*Table6[[#This Row],[Plant Equivalent Weightage]],"")</f>
        <v>3.8461538461538312E-3</v>
      </c>
      <c r="X1619" s="473" t="s">
        <v>290</v>
      </c>
      <c r="Y1619" s="474" t="s">
        <v>79</v>
      </c>
      <c r="Z1619" s="102">
        <v>17958</v>
      </c>
      <c r="AA1619" s="468">
        <f>(Table6[[#This Row],[Paired WTG Generation for loss calculation]]/24)*Table6[[#This Row],[Breakdown Time]]</f>
        <v>74.824999999999733</v>
      </c>
      <c r="AB1619" s="102"/>
      <c r="AC1619" s="35"/>
      <c r="AD1619" s="35"/>
    </row>
    <row r="1620" spans="1:30">
      <c r="A1620" s="102">
        <f t="shared" si="26"/>
        <v>1619</v>
      </c>
      <c r="B1620" s="468">
        <f>YEAR(Table6[[#This Row],[Date]])+IF(MONTH(Table6[[#This Row],[Date]])&gt;=4,1,0)</f>
        <v>2026</v>
      </c>
      <c r="C1620" s="102">
        <f>YEAR(Table6[[#This Row],[Date]])</f>
        <v>2025</v>
      </c>
      <c r="D1620" s="102" t="s">
        <v>1992</v>
      </c>
      <c r="E1620" s="469">
        <f>Table6[[#This Row],[Date]]-DAY(Table6[[#This Row],[Date]])+1</f>
        <v>45839</v>
      </c>
      <c r="F1620" s="470">
        <v>45863</v>
      </c>
      <c r="G1620" s="35" t="s">
        <v>95</v>
      </c>
      <c r="H1620" s="35" t="str">
        <f>IFERROR(_xlfn.XLOOKUP(Table6[[#This Row],[Affected WTG]],'Basic Data'!$A:$A,'Basic Data'!$B:$B),"")</f>
        <v>TQGXIIPL</v>
      </c>
      <c r="I1620" s="35" t="str">
        <f>IFERROR(_xlfn.XLOOKUP(Table6[[#This Row],[Affected WTG]],'Basic Data'!$A:$A,'Basic Data'!$C:$C),"")</f>
        <v>GEDA</v>
      </c>
      <c r="J1620" s="471">
        <f>IFERROR(_xlfn.XLOOKUP(Table6[[#This Row],[Affected WTG]],'Basic Data'!$A:$A,'Basic Data'!$E:$E),"")</f>
        <v>3.846153846153845E-2</v>
      </c>
      <c r="K1620" s="102">
        <v>55</v>
      </c>
      <c r="L1620" s="35" t="str">
        <f>IFERROR(_xlfn.XLOOKUP(Table6[[#This Row],[Error Code]],'Basic Data'!$AA:$AA,'Basic Data'!$AB:$AB),"Incorrect Error Code")</f>
        <v>WTG shut down</v>
      </c>
      <c r="M1620" s="35" t="s">
        <v>291</v>
      </c>
      <c r="N1620" s="475"/>
      <c r="O1620" s="476">
        <v>0.57777777777777772</v>
      </c>
      <c r="P1620" s="476">
        <v>0.57777777777777772</v>
      </c>
      <c r="Q1620" s="477">
        <v>0.5805555555555556</v>
      </c>
      <c r="R1620" s="472">
        <f>IF(Table6[[#This Row],[Work Start TimeStamp]]="","",(Table6[[#This Row],[Work Start TimeStamp]]-Table6[[#This Row],[Fault Start TimeStamp]])*24)</f>
        <v>0</v>
      </c>
      <c r="S1620" s="472">
        <f>(Table6[[#This Row],[Fault Clearance time]]-Table6[[#This Row],[Work Start TimeStamp]])*24</f>
        <v>6.6666666666669094E-2</v>
      </c>
      <c r="T1620" s="472">
        <f>(Table6[[#This Row],[Fault Clearance time]]-Table6[[#This Row],[Fault Start TimeStamp]])*24</f>
        <v>6.6666666666669094E-2</v>
      </c>
      <c r="U1620" s="35" t="s">
        <v>2115</v>
      </c>
      <c r="V1620" s="102" t="s">
        <v>293</v>
      </c>
      <c r="W1620" s="549">
        <f>IFERROR(Table6[[#This Row],[Breakdown Time]]*Table6[[#This Row],[Plant Equivalent Weightage]],"")</f>
        <v>2.5641025641026569E-3</v>
      </c>
      <c r="X1620" s="473" t="s">
        <v>290</v>
      </c>
      <c r="Y1620" s="474" t="s">
        <v>79</v>
      </c>
      <c r="Z1620" s="102">
        <v>17958</v>
      </c>
      <c r="AA1620" s="468">
        <f>(Table6[[#This Row],[Paired WTG Generation for loss calculation]]/24)*Table6[[#This Row],[Breakdown Time]]</f>
        <v>49.883333333335152</v>
      </c>
      <c r="AB1620" s="102"/>
      <c r="AC1620" s="35"/>
      <c r="AD1620" s="35"/>
    </row>
    <row r="1621" spans="1:30">
      <c r="A1621" s="102">
        <f t="shared" si="26"/>
        <v>1620</v>
      </c>
      <c r="B1621" s="468">
        <f>YEAR(Table6[[#This Row],[Date]])+IF(MONTH(Table6[[#This Row],[Date]])&gt;=4,1,0)</f>
        <v>2026</v>
      </c>
      <c r="C1621" s="102">
        <f>YEAR(Table6[[#This Row],[Date]])</f>
        <v>2025</v>
      </c>
      <c r="D1621" s="102" t="s">
        <v>1992</v>
      </c>
      <c r="E1621" s="469">
        <f>Table6[[#This Row],[Date]]-DAY(Table6[[#This Row],[Date]])+1</f>
        <v>45839</v>
      </c>
      <c r="F1621" s="470">
        <v>45863</v>
      </c>
      <c r="G1621" s="35" t="s">
        <v>96</v>
      </c>
      <c r="H1621" s="35" t="str">
        <f>IFERROR(_xlfn.XLOOKUP(Table6[[#This Row],[Affected WTG]],'Basic Data'!$A:$A,'Basic Data'!$B:$B),"")</f>
        <v>TQGXIIPL</v>
      </c>
      <c r="I1621" s="35" t="str">
        <f>IFERROR(_xlfn.XLOOKUP(Table6[[#This Row],[Affected WTG]],'Basic Data'!$A:$A,'Basic Data'!$C:$C),"")</f>
        <v>GEDA</v>
      </c>
      <c r="J1621" s="471">
        <f>IFERROR(_xlfn.XLOOKUP(Table6[[#This Row],[Affected WTG]],'Basic Data'!$A:$A,'Basic Data'!$E:$E),"")</f>
        <v>3.846153846153845E-2</v>
      </c>
      <c r="K1621" s="102">
        <v>55</v>
      </c>
      <c r="L1621" s="35" t="str">
        <f>IFERROR(_xlfn.XLOOKUP(Table6[[#This Row],[Error Code]],'Basic Data'!$AA:$AA,'Basic Data'!$AB:$AB),"Incorrect Error Code")</f>
        <v>WTG shut down</v>
      </c>
      <c r="M1621" s="35" t="s">
        <v>291</v>
      </c>
      <c r="N1621" s="475"/>
      <c r="O1621" s="476">
        <v>0.55625000000000002</v>
      </c>
      <c r="P1621" s="476">
        <v>0.55625000000000002</v>
      </c>
      <c r="Q1621" s="477">
        <v>0.56111111111111112</v>
      </c>
      <c r="R1621" s="472">
        <f>IF(Table6[[#This Row],[Work Start TimeStamp]]="","",(Table6[[#This Row],[Work Start TimeStamp]]-Table6[[#This Row],[Fault Start TimeStamp]])*24)</f>
        <v>0</v>
      </c>
      <c r="S1621" s="472">
        <f>(Table6[[#This Row],[Fault Clearance time]]-Table6[[#This Row],[Work Start TimeStamp]])*24</f>
        <v>0.11666666666666625</v>
      </c>
      <c r="T1621" s="472">
        <f>(Table6[[#This Row],[Fault Clearance time]]-Table6[[#This Row],[Fault Start TimeStamp]])*24</f>
        <v>0.11666666666666625</v>
      </c>
      <c r="U1621" s="35" t="s">
        <v>2115</v>
      </c>
      <c r="V1621" s="102" t="s">
        <v>293</v>
      </c>
      <c r="W1621" s="549">
        <f>IFERROR(Table6[[#This Row],[Breakdown Time]]*Table6[[#This Row],[Plant Equivalent Weightage]],"")</f>
        <v>4.4871794871794695E-3</v>
      </c>
      <c r="X1621" s="473" t="s">
        <v>290</v>
      </c>
      <c r="Y1621" s="474" t="s">
        <v>84</v>
      </c>
      <c r="Z1621" s="102">
        <v>12562</v>
      </c>
      <c r="AA1621" s="468">
        <f>(Table6[[#This Row],[Paired WTG Generation for loss calculation]]/24)*Table6[[#This Row],[Breakdown Time]]</f>
        <v>61.06527777777756</v>
      </c>
      <c r="AB1621" s="102"/>
      <c r="AC1621" s="35"/>
      <c r="AD1621" s="35"/>
    </row>
    <row r="1622" spans="1:30">
      <c r="A1622" s="102">
        <f t="shared" si="26"/>
        <v>1621</v>
      </c>
      <c r="B1622" s="468">
        <f>YEAR(Table6[[#This Row],[Date]])+IF(MONTH(Table6[[#This Row],[Date]])&gt;=4,1,0)</f>
        <v>2026</v>
      </c>
      <c r="C1622" s="102">
        <f>YEAR(Table6[[#This Row],[Date]])</f>
        <v>2025</v>
      </c>
      <c r="D1622" s="102" t="s">
        <v>1992</v>
      </c>
      <c r="E1622" s="469">
        <f>Table6[[#This Row],[Date]]-DAY(Table6[[#This Row],[Date]])+1</f>
        <v>45839</v>
      </c>
      <c r="F1622" s="470">
        <v>45863</v>
      </c>
      <c r="G1622" s="35" t="s">
        <v>78</v>
      </c>
      <c r="H1622" s="35" t="str">
        <f>IFERROR(_xlfn.XLOOKUP(Table6[[#This Row],[Affected WTG]],'Basic Data'!$A:$A,'Basic Data'!$B:$B),"")</f>
        <v>TQGXIIPL</v>
      </c>
      <c r="I1622" s="35" t="str">
        <f>IFERROR(_xlfn.XLOOKUP(Table6[[#This Row],[Affected WTG]],'Basic Data'!$A:$A,'Basic Data'!$C:$C),"")</f>
        <v>GEDA</v>
      </c>
      <c r="J1622" s="471">
        <f>IFERROR(_xlfn.XLOOKUP(Table6[[#This Row],[Affected WTG]],'Basic Data'!$A:$A,'Basic Data'!$E:$E),"")</f>
        <v>3.846153846153845E-2</v>
      </c>
      <c r="K1622" s="102">
        <v>3110</v>
      </c>
      <c r="L1622" s="35" t="str">
        <f>IFERROR(_xlfn.XLOOKUP(Table6[[#This Row],[Error Code]],'Basic Data'!$AA:$AA,'Basic Data'!$AB:$AB),"Incorrect Error Code")</f>
        <v>Frequency converter error</v>
      </c>
      <c r="M1622" s="35" t="s">
        <v>292</v>
      </c>
      <c r="N1622" s="475"/>
      <c r="O1622" s="476">
        <v>2.4305555555555556E-2</v>
      </c>
      <c r="P1622" s="476">
        <v>2.4305555555555556E-2</v>
      </c>
      <c r="Q1622" s="477">
        <v>2.6388888888888889E-2</v>
      </c>
      <c r="R1622" s="472">
        <f>IF(Table6[[#This Row],[Work Start TimeStamp]]="","",(Table6[[#This Row],[Work Start TimeStamp]]-Table6[[#This Row],[Fault Start TimeStamp]])*24)</f>
        <v>0</v>
      </c>
      <c r="S1622" s="472">
        <f>(Table6[[#This Row],[Fault Clearance time]]-Table6[[#This Row],[Work Start TimeStamp]])*24</f>
        <v>4.9999999999999989E-2</v>
      </c>
      <c r="T1622" s="472">
        <f>(Table6[[#This Row],[Fault Clearance time]]-Table6[[#This Row],[Fault Start TimeStamp]])*24</f>
        <v>4.9999999999999989E-2</v>
      </c>
      <c r="U1622" s="35" t="s">
        <v>336</v>
      </c>
      <c r="V1622" s="102" t="s">
        <v>293</v>
      </c>
      <c r="W1622" s="549">
        <f>IFERROR(Table6[[#This Row],[Breakdown Time]]*Table6[[#This Row],[Plant Equivalent Weightage]],"")</f>
        <v>1.9230769230769221E-3</v>
      </c>
      <c r="X1622" s="473" t="s">
        <v>294</v>
      </c>
      <c r="Y1622" s="474" t="s">
        <v>75</v>
      </c>
      <c r="Z1622" s="102">
        <v>15874</v>
      </c>
      <c r="AA1622" s="468">
        <f>(Table6[[#This Row],[Paired WTG Generation for loss calculation]]/24)*Table6[[#This Row],[Breakdown Time]]</f>
        <v>33.070833333333326</v>
      </c>
      <c r="AB1622" s="102"/>
      <c r="AC1622" s="35"/>
      <c r="AD1622" s="35"/>
    </row>
    <row r="1623" spans="1:30">
      <c r="A1623" s="102">
        <f t="shared" si="26"/>
        <v>1622</v>
      </c>
      <c r="B1623" s="468">
        <f>YEAR(Table6[[#This Row],[Date]])+IF(MONTH(Table6[[#This Row],[Date]])&gt;=4,1,0)</f>
        <v>2026</v>
      </c>
      <c r="C1623" s="102">
        <f>YEAR(Table6[[#This Row],[Date]])</f>
        <v>2025</v>
      </c>
      <c r="D1623" s="102" t="s">
        <v>1992</v>
      </c>
      <c r="E1623" s="469">
        <f>Table6[[#This Row],[Date]]-DAY(Table6[[#This Row],[Date]])+1</f>
        <v>45839</v>
      </c>
      <c r="F1623" s="470">
        <v>45863</v>
      </c>
      <c r="G1623" s="35" t="s">
        <v>78</v>
      </c>
      <c r="H1623" s="35" t="str">
        <f>IFERROR(_xlfn.XLOOKUP(Table6[[#This Row],[Affected WTG]],'Basic Data'!$A:$A,'Basic Data'!$B:$B),"")</f>
        <v>TQGXIIPL</v>
      </c>
      <c r="I1623" s="35" t="str">
        <f>IFERROR(_xlfn.XLOOKUP(Table6[[#This Row],[Affected WTG]],'Basic Data'!$A:$A,'Basic Data'!$C:$C),"")</f>
        <v>GEDA</v>
      </c>
      <c r="J1623" s="471">
        <f>IFERROR(_xlfn.XLOOKUP(Table6[[#This Row],[Affected WTG]],'Basic Data'!$A:$A,'Basic Data'!$E:$E),"")</f>
        <v>3.846153846153845E-2</v>
      </c>
      <c r="K1623" s="102">
        <v>3110</v>
      </c>
      <c r="L1623" s="35" t="str">
        <f>IFERROR(_xlfn.XLOOKUP(Table6[[#This Row],[Error Code]],'Basic Data'!$AA:$AA,'Basic Data'!$AB:$AB),"Incorrect Error Code")</f>
        <v>Frequency converter error</v>
      </c>
      <c r="M1623" s="35" t="s">
        <v>292</v>
      </c>
      <c r="N1623" s="475"/>
      <c r="O1623" s="476">
        <v>0.55277777777777781</v>
      </c>
      <c r="P1623" s="476">
        <v>0.55277777777777781</v>
      </c>
      <c r="Q1623" s="477">
        <v>0.5541666666666667</v>
      </c>
      <c r="R1623" s="472">
        <f>IF(Table6[[#This Row],[Work Start TimeStamp]]="","",(Table6[[#This Row],[Work Start TimeStamp]]-Table6[[#This Row],[Fault Start TimeStamp]])*24)</f>
        <v>0</v>
      </c>
      <c r="S1623" s="472">
        <f>(Table6[[#This Row],[Fault Clearance time]]-Table6[[#This Row],[Work Start TimeStamp]])*24</f>
        <v>3.3333333333333215E-2</v>
      </c>
      <c r="T1623" s="472">
        <f>(Table6[[#This Row],[Fault Clearance time]]-Table6[[#This Row],[Fault Start TimeStamp]])*24</f>
        <v>3.3333333333333215E-2</v>
      </c>
      <c r="U1623" s="35" t="s">
        <v>336</v>
      </c>
      <c r="V1623" s="102" t="s">
        <v>293</v>
      </c>
      <c r="W1623" s="549">
        <f>IFERROR(Table6[[#This Row],[Breakdown Time]]*Table6[[#This Row],[Plant Equivalent Weightage]],"")</f>
        <v>1.2820512820512771E-3</v>
      </c>
      <c r="X1623" s="473" t="s">
        <v>294</v>
      </c>
      <c r="Y1623" s="474" t="s">
        <v>75</v>
      </c>
      <c r="Z1623" s="102">
        <v>15874</v>
      </c>
      <c r="AA1623" s="468">
        <f>(Table6[[#This Row],[Paired WTG Generation for loss calculation]]/24)*Table6[[#This Row],[Breakdown Time]]</f>
        <v>22.047222222222143</v>
      </c>
      <c r="AB1623" s="102"/>
      <c r="AC1623" s="35"/>
      <c r="AD1623" s="35"/>
    </row>
    <row r="1624" spans="1:30">
      <c r="A1624" s="102">
        <f t="shared" si="26"/>
        <v>1623</v>
      </c>
      <c r="B1624" s="468">
        <f>YEAR(Table6[[#This Row],[Date]])+IF(MONTH(Table6[[#This Row],[Date]])&gt;=4,1,0)</f>
        <v>2026</v>
      </c>
      <c r="C1624" s="102">
        <f>YEAR(Table6[[#This Row],[Date]])</f>
        <v>2025</v>
      </c>
      <c r="D1624" s="102" t="s">
        <v>1992</v>
      </c>
      <c r="E1624" s="469">
        <f>Table6[[#This Row],[Date]]-DAY(Table6[[#This Row],[Date]])+1</f>
        <v>45839</v>
      </c>
      <c r="F1624" s="470">
        <v>45863</v>
      </c>
      <c r="G1624" s="35" t="s">
        <v>83</v>
      </c>
      <c r="H1624" s="35" t="str">
        <f>IFERROR(_xlfn.XLOOKUP(Table6[[#This Row],[Affected WTG]],'Basic Data'!$A:$A,'Basic Data'!$B:$B),"")</f>
        <v>TQGXIIPL</v>
      </c>
      <c r="I1624" s="35" t="str">
        <f>IFERROR(_xlfn.XLOOKUP(Table6[[#This Row],[Affected WTG]],'Basic Data'!$A:$A,'Basic Data'!$C:$C),"")</f>
        <v>GEDA</v>
      </c>
      <c r="J1624" s="471">
        <f>IFERROR(_xlfn.XLOOKUP(Table6[[#This Row],[Affected WTG]],'Basic Data'!$A:$A,'Basic Data'!$E:$E),"")</f>
        <v>3.846153846153845E-2</v>
      </c>
      <c r="K1624" s="102">
        <v>656</v>
      </c>
      <c r="L1624" s="35" t="str">
        <f>IFERROR(_xlfn.XLOOKUP(Table6[[#This Row],[Error Code]],'Basic Data'!$AA:$AA,'Basic Data'!$AB:$AB),"Incorrect Error Code")</f>
        <v>Error pitch converter 1</v>
      </c>
      <c r="M1624" s="35" t="s">
        <v>292</v>
      </c>
      <c r="N1624" s="475"/>
      <c r="O1624" s="476">
        <v>0.37291666666666667</v>
      </c>
      <c r="P1624" s="476">
        <v>0.37291666666666667</v>
      </c>
      <c r="Q1624" s="477">
        <v>0.37361111111111112</v>
      </c>
      <c r="R1624" s="472">
        <f>IF(Table6[[#This Row],[Work Start TimeStamp]]="","",(Table6[[#This Row],[Work Start TimeStamp]]-Table6[[#This Row],[Fault Start TimeStamp]])*24)</f>
        <v>0</v>
      </c>
      <c r="S1624" s="472">
        <f>(Table6[[#This Row],[Fault Clearance time]]-Table6[[#This Row],[Work Start TimeStamp]])*24</f>
        <v>1.6666666666666607E-2</v>
      </c>
      <c r="T1624" s="472">
        <f>(Table6[[#This Row],[Fault Clearance time]]-Table6[[#This Row],[Fault Start TimeStamp]])*24</f>
        <v>1.6666666666666607E-2</v>
      </c>
      <c r="U1624" s="35" t="s">
        <v>336</v>
      </c>
      <c r="V1624" s="102" t="s">
        <v>293</v>
      </c>
      <c r="W1624" s="549">
        <f>IFERROR(Table6[[#This Row],[Breakdown Time]]*Table6[[#This Row],[Plant Equivalent Weightage]],"")</f>
        <v>6.4102564102563853E-4</v>
      </c>
      <c r="X1624" s="473" t="s">
        <v>294</v>
      </c>
      <c r="Y1624" s="474" t="s">
        <v>88</v>
      </c>
      <c r="Z1624" s="102">
        <v>12269</v>
      </c>
      <c r="AA1624" s="468">
        <f>(Table6[[#This Row],[Paired WTG Generation for loss calculation]]/24)*Table6[[#This Row],[Breakdown Time]]</f>
        <v>8.5201388888888587</v>
      </c>
      <c r="AB1624" s="102"/>
      <c r="AC1624" s="35"/>
      <c r="AD1624" s="35"/>
    </row>
  </sheetData>
  <phoneticPr fontId="10" type="noConversion"/>
  <conditionalFormatting sqref="L1:L1624">
    <cfRule type="containsText" dxfId="4" priority="1" operator="containsText" text="Incorrect Error Code">
      <formula>NOT(ISERROR(SEARCH("Incorrect Error Code",L1)))</formula>
    </cfRule>
  </conditionalFormatting>
  <pageMargins left="0.7" right="0.7" top="0.75" bottom="0.75" header="0.3" footer="0.3"/>
  <ignoredErrors>
    <ignoredError sqref="Y1625: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Y2:Y1048576 G2:G1048576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7"/>
  <sheetViews>
    <sheetView zoomScale="80" workbookViewId="0">
      <pane xSplit="6" ySplit="1" topLeftCell="G138" activePane="bottomRight" state="frozen"/>
      <selection pane="topRight" activeCell="G1" sqref="G1"/>
      <selection pane="bottomLeft" activeCell="A2" sqref="A2"/>
      <selection pane="bottomRight" activeCell="K162" sqref="K162"/>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1992</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2073</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2023</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1992</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1974</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2034</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1992</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2032</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2109</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W158:W1048576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58" t="s">
        <v>1865</v>
      </c>
      <c r="B1" s="661" t="s">
        <v>1866</v>
      </c>
      <c r="C1" s="661" t="s">
        <v>1867</v>
      </c>
      <c r="D1" s="661" t="s">
        <v>1868</v>
      </c>
      <c r="E1" s="661" t="s">
        <v>1869</v>
      </c>
      <c r="F1" s="664" t="s">
        <v>1870</v>
      </c>
      <c r="G1" s="645">
        <v>2024</v>
      </c>
      <c r="H1" s="646"/>
      <c r="I1" s="646"/>
      <c r="J1" s="646"/>
      <c r="K1" s="361"/>
      <c r="L1" s="647">
        <v>2025</v>
      </c>
      <c r="M1" s="648"/>
      <c r="N1" s="648"/>
      <c r="O1" s="648"/>
      <c r="P1" s="648"/>
      <c r="Q1" s="649"/>
    </row>
    <row r="2" spans="1:17">
      <c r="A2" s="659"/>
      <c r="B2" s="662"/>
      <c r="C2" s="662"/>
      <c r="D2" s="662"/>
      <c r="E2" s="662"/>
      <c r="F2" s="665"/>
      <c r="G2" s="650" t="s">
        <v>1871</v>
      </c>
      <c r="H2" s="651"/>
      <c r="I2" s="651"/>
      <c r="J2" s="651"/>
      <c r="K2" s="652"/>
      <c r="L2" s="653" t="s">
        <v>1872</v>
      </c>
      <c r="M2" s="654"/>
      <c r="N2" s="654"/>
      <c r="O2" s="654"/>
      <c r="P2" s="654"/>
      <c r="Q2" s="655"/>
    </row>
    <row r="3" spans="1:17">
      <c r="A3" s="660"/>
      <c r="B3" s="663"/>
      <c r="C3" s="663"/>
      <c r="D3" s="663"/>
      <c r="E3" s="663"/>
      <c r="F3" s="666"/>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56"/>
      <c r="B30" s="657"/>
      <c r="C30" s="657"/>
      <c r="D30" s="657"/>
      <c r="E30" s="657"/>
      <c r="F30" s="657"/>
      <c r="G30" s="657"/>
      <c r="H30" s="657"/>
      <c r="I30" s="657"/>
      <c r="J30" s="657"/>
      <c r="K30" s="657"/>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67" t="s">
        <v>2040</v>
      </c>
      <c r="B1" s="667" t="s">
        <v>128</v>
      </c>
      <c r="C1" s="667" t="s">
        <v>2041</v>
      </c>
      <c r="D1" s="667" t="s">
        <v>2042</v>
      </c>
      <c r="E1" s="668" t="s">
        <v>2043</v>
      </c>
      <c r="F1" s="667" t="s">
        <v>2044</v>
      </c>
      <c r="G1" s="667" t="s">
        <v>2045</v>
      </c>
      <c r="H1" s="667" t="s">
        <v>2046</v>
      </c>
      <c r="I1" s="667" t="s">
        <v>2047</v>
      </c>
      <c r="J1" s="565"/>
      <c r="K1" s="667" t="s">
        <v>12</v>
      </c>
    </row>
    <row r="2" spans="1:11" ht="15.5">
      <c r="A2" s="667"/>
      <c r="B2" s="667"/>
      <c r="C2" s="667"/>
      <c r="D2" s="667"/>
      <c r="E2" s="669"/>
      <c r="F2" s="667"/>
      <c r="G2" s="667"/>
      <c r="H2" s="667"/>
      <c r="I2" s="667"/>
      <c r="J2" s="565" t="s">
        <v>2050</v>
      </c>
      <c r="K2" s="667"/>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25</v>
      </c>
      <c r="R17" s="191"/>
      <c r="S17" s="191"/>
      <c r="T17" s="190">
        <f t="shared" si="0"/>
        <v>963.88316796059144</v>
      </c>
      <c r="U17" s="191">
        <f t="shared" si="1"/>
        <v>24097.079199014785</v>
      </c>
      <c r="V17" s="191">
        <f>SUMIF($F$2:F17,F17,$U$2:U17)</f>
        <v>97248.347232118249</v>
      </c>
      <c r="W17" s="192">
        <f t="shared" si="2"/>
        <v>0.57210539408867012</v>
      </c>
      <c r="X17" s="192">
        <f t="shared" si="3"/>
        <v>0.57210539408867001</v>
      </c>
      <c r="Y17" s="192">
        <f t="shared" si="4"/>
        <v>0.4975948604977069</v>
      </c>
      <c r="Z17" s="190">
        <f>IFERROR(AVERAGEIF('Daily KPI'!D:D,Table14[[#This Row],[Month]],'Daily KPI'!AB:AB),"")</f>
        <v>70.200000000000031</v>
      </c>
      <c r="AA17" s="189">
        <f>IFERROR(AVERAGEIF($F$2:F17,F17,$Z$2:Z17),"")</f>
        <v>70.200000000000031</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97248.347232118249</v>
      </c>
      <c r="W18" s="187">
        <f t="shared" si="2"/>
        <v>0.53165349753694591</v>
      </c>
      <c r="X18" s="187" t="str">
        <f t="shared" si="3"/>
        <v/>
      </c>
      <c r="Y18" s="187">
        <f t="shared" si="4"/>
        <v>0.4975948604977069</v>
      </c>
      <c r="Z18" s="185" t="str">
        <f>IFERROR(AVERAGEIF('Daily KPI'!D:D,Table14[[#This Row],[Month]],'Daily KPI'!AB:AB),"")</f>
        <v/>
      </c>
      <c r="AA18" s="184">
        <f>IFERROR(AVERAGEIF($F$2:F18,F18,$Z$2:Z18),"")</f>
        <v>70.200000000000031</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97248.347232118249</v>
      </c>
      <c r="W19" s="192">
        <f t="shared" si="2"/>
        <v>0.31398376847290649</v>
      </c>
      <c r="X19" s="192" t="str">
        <f t="shared" si="3"/>
        <v/>
      </c>
      <c r="Y19" s="192">
        <f t="shared" si="4"/>
        <v>0.4975948604977069</v>
      </c>
      <c r="Z19" s="190" t="str">
        <f>IFERROR(AVERAGEIF('Daily KPI'!D:D,Table14[[#This Row],[Month]],'Daily KPI'!AB:AB),"")</f>
        <v/>
      </c>
      <c r="AA19" s="189">
        <f>IFERROR(AVERAGEIF($F$2:F19,F19,$Z$2:Z19),"")</f>
        <v>70.200000000000031</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97248.347232118249</v>
      </c>
      <c r="W20" s="187">
        <f t="shared" si="2"/>
        <v>0.21574344827586206</v>
      </c>
      <c r="X20" s="187" t="str">
        <f t="shared" si="3"/>
        <v/>
      </c>
      <c r="Y20" s="187">
        <f t="shared" si="4"/>
        <v>0.4975948604977069</v>
      </c>
      <c r="Z20" s="185" t="str">
        <f>IFERROR(AVERAGEIF('Daily KPI'!D:D,Table14[[#This Row],[Month]],'Daily KPI'!AB:AB),"")</f>
        <v/>
      </c>
      <c r="AA20" s="184">
        <f>IFERROR(AVERAGEIF($F$2:F20,F20,$Z$2:Z20),"")</f>
        <v>70.200000000000031</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97248.347232118249</v>
      </c>
      <c r="W21" s="192">
        <f t="shared" si="2"/>
        <v>0.24078509852216753</v>
      </c>
      <c r="X21" s="192" t="str">
        <f t="shared" si="3"/>
        <v/>
      </c>
      <c r="Y21" s="192">
        <f t="shared" si="4"/>
        <v>0.4975948604977069</v>
      </c>
      <c r="Z21" s="190" t="str">
        <f>IFERROR(AVERAGEIF('Daily KPI'!D:D,Table14[[#This Row],[Month]],'Daily KPI'!AB:AB),"")</f>
        <v/>
      </c>
      <c r="AA21" s="189">
        <f>IFERROR(AVERAGEIF($F$2:F21,F21,$Z$2:Z21),"")</f>
        <v>70.200000000000031</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97248.347232118249</v>
      </c>
      <c r="W22" s="187">
        <f t="shared" si="2"/>
        <v>0.34095169950738929</v>
      </c>
      <c r="X22" s="187" t="str">
        <f t="shared" si="3"/>
        <v/>
      </c>
      <c r="Y22" s="187">
        <f t="shared" si="4"/>
        <v>0.4975948604977069</v>
      </c>
      <c r="Z22" s="185" t="str">
        <f>IFERROR(AVERAGEIF('Daily KPI'!D:D,Table14[[#This Row],[Month]],'Daily KPI'!AB:AB),"")</f>
        <v/>
      </c>
      <c r="AA22" s="184">
        <f>IFERROR(AVERAGEIF($F$2:F22,F22,$Z$2:Z22),"")</f>
        <v>70.200000000000031</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97248.347232118249</v>
      </c>
      <c r="W23" s="192">
        <f t="shared" si="2"/>
        <v>0.36406706896551722</v>
      </c>
      <c r="X23" s="192" t="str">
        <f t="shared" si="3"/>
        <v/>
      </c>
      <c r="Y23" s="192">
        <f t="shared" si="4"/>
        <v>0.4975948604977069</v>
      </c>
      <c r="Z23" s="190" t="str">
        <f>IFERROR(AVERAGEIF('Daily KPI'!D:D,Table14[[#This Row],[Month]],'Daily KPI'!AB:AB),"")</f>
        <v/>
      </c>
      <c r="AA23" s="189">
        <f>IFERROR(AVERAGEIF($F$2:F23,F23,$Z$2:Z23),"")</f>
        <v>70.200000000000031</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97248.347232118249</v>
      </c>
      <c r="W24" s="187">
        <f t="shared" si="2"/>
        <v>0.31013120689655177</v>
      </c>
      <c r="X24" s="187" t="str">
        <f t="shared" si="3"/>
        <v/>
      </c>
      <c r="Y24" s="187">
        <f t="shared" si="4"/>
        <v>0.4975948604977069</v>
      </c>
      <c r="Z24" s="185" t="str">
        <f>IFERROR(AVERAGEIF('Daily KPI'!D:D,Table14[[#This Row],[Month]],'Daily KPI'!AB:AB),"")</f>
        <v/>
      </c>
      <c r="AA24" s="184">
        <f>IFERROR(AVERAGEIF($F$2:F24,F24,$Z$2:Z24),"")</f>
        <v>70.200000000000031</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97248.347232118249</v>
      </c>
      <c r="W25" s="192">
        <f t="shared" si="2"/>
        <v>0.3736984729064039</v>
      </c>
      <c r="X25" s="192" t="str">
        <f t="shared" si="3"/>
        <v/>
      </c>
      <c r="Y25" s="192">
        <f t="shared" si="4"/>
        <v>0.4975948604977069</v>
      </c>
      <c r="Z25" s="190" t="str">
        <f>IFERROR(AVERAGEIF('Daily KPI'!D:D,Table14[[#This Row],[Month]],'Daily KPI'!AB:AB),"")</f>
        <v/>
      </c>
      <c r="AA25" s="189">
        <f>IFERROR(AVERAGEIF($F$2:F25,F25,$Z$2:Z25),"")</f>
        <v>70.200000000000031</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70" t="s">
        <v>284</v>
      </c>
      <c r="Q2" s="670"/>
      <c r="R2" s="670"/>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3.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8EAC07A-AAE7-472C-AF09-16DC83D01E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Akram Rez Najmi</cp:lastModifiedBy>
  <cp:revision/>
  <dcterms:created xsi:type="dcterms:W3CDTF">2015-06-05T18:17:20Z</dcterms:created>
  <dcterms:modified xsi:type="dcterms:W3CDTF">2025-07-26T03:01:47Z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